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16" yWindow="65416" windowWidth="29040" windowHeight="15840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<sst xmlns="http://schemas.openxmlformats.org/spreadsheetml/2006/main" count="47" uniqueCount="47">
  <si>
    <t>Name: Proposed Crescent Update</t>
  </si>
  <si>
    <t>Total Payroll Tax to City</t>
  </si>
  <si>
    <t>During Incentive Period</t>
  </si>
  <si>
    <t>Jobs</t>
  </si>
  <si>
    <t>Payroll</t>
  </si>
  <si>
    <t>2.5% tax on payroll</t>
  </si>
  <si>
    <t>TIF Estimate</t>
  </si>
  <si>
    <t>ROI Medical</t>
  </si>
  <si>
    <t xml:space="preserve">Current Land Value </t>
  </si>
  <si>
    <t>Requested Sale Price</t>
  </si>
  <si>
    <t>Estimated Improved Value</t>
  </si>
  <si>
    <t>Real Estate Appreciation</t>
  </si>
  <si>
    <t xml:space="preserve">Years </t>
  </si>
  <si>
    <t>Future Growth</t>
  </si>
  <si>
    <t>Future Value</t>
  </si>
  <si>
    <t>Millage Rate</t>
  </si>
  <si>
    <t>Abatement Percentage</t>
  </si>
  <si>
    <t>Total Value of City Portion of Abatement</t>
  </si>
  <si>
    <t>Project Investments</t>
  </si>
  <si>
    <t>Building</t>
  </si>
  <si>
    <t>Total Payroll Tax Collected</t>
  </si>
  <si>
    <t>Other Taxes</t>
  </si>
  <si>
    <t>Construction Income Tax</t>
  </si>
  <si>
    <t>New Community Authority</t>
  </si>
  <si>
    <t>Construction Sales Tax</t>
  </si>
  <si>
    <t>Other Considerations</t>
  </si>
  <si>
    <t>&lt;-- Non-abated value (20%)</t>
  </si>
  <si>
    <t xml:space="preserve">School Compensation </t>
  </si>
  <si>
    <t>&lt;-- Non-abated value (20%) x 10 yrs</t>
  </si>
  <si>
    <t>&lt;-- Non-school TIF value (38.25% of post CRA Value)</t>
  </si>
  <si>
    <t>Projected TIF PILOT Payments (30 yrs.)</t>
  </si>
  <si>
    <t>&lt;-- Non-school TIF value (38.25% of post CRA Value) x 20 yrs</t>
  </si>
  <si>
    <t>Total Investment  to City</t>
  </si>
  <si>
    <t>Total City Investment</t>
  </si>
  <si>
    <t>2030-2054</t>
  </si>
  <si>
    <t>Total Value of Abatement 10 yrs.</t>
  </si>
  <si>
    <t>Estimated Annual Poperty Tax</t>
  </si>
  <si>
    <t>Total payroll first 10 years</t>
  </si>
  <si>
    <t>School compensataion agreement states sharing 50% of property taxes and 50% of income taxes, not to exceed total CRA abatement amount.</t>
  </si>
  <si>
    <t>50% shared first 10 years</t>
  </si>
  <si>
    <t>Total 50% sharing of abatement and income tax exceeds the 10 year abatement amount</t>
  </si>
  <si>
    <t>on 1.5% only</t>
  </si>
  <si>
    <t>O&amp;I Incentive - 5 years</t>
  </si>
  <si>
    <t>6 to 30</t>
  </si>
  <si>
    <t>Total 10-year incentive to user</t>
  </si>
  <si>
    <t>Annual abatement amount</t>
  </si>
  <si>
    <t>50%, shared for first 10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</si>
</sst>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"/>
    <numFmt numFmtId="166" formatCode="#,##0.00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3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medium"/>
      <right/>
      <top/>
      <bottom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3" fontId="4" fillId="0" borderId="0" xfId="0" applyNumberFormat="1" applyFont="1"/>
    <xf numFmtId="0" fontId="5" fillId="0" borderId="0" xfId="0" applyFont="1"/>
    <xf numFmtId="0" fontId="4" fillId="0" borderId="0" xfId="0" applyFont="1"/>
    <xf numFmtId="8" fontId="6" fillId="0" borderId="0" xfId="0" applyNumberFormat="1" applyFont="1"/>
    <xf numFmtId="0" fontId="6" fillId="0" borderId="0" xfId="0" applyFont="1"/>
    <xf numFmtId="3" fontId="4" fillId="0" borderId="1" xfId="0" applyNumberFormat="1" applyFont="1" applyBorder="1"/>
    <xf numFmtId="9" fontId="4" fillId="0" borderId="0" xfId="0" applyNumberFormat="1" applyFont="1" applyAlignment="1">
      <alignment horizontal="left"/>
    </xf>
    <xf numFmtId="0" fontId="4" fillId="0" borderId="1" xfId="0" applyFont="1" applyBorder="1"/>
    <xf numFmtId="3" fontId="4" fillId="0" borderId="0" xfId="0" applyNumberFormat="1" applyFont="1" applyAlignment="1">
      <alignment horizontal="left"/>
    </xf>
    <xf numFmtId="3" fontId="4" fillId="0" borderId="2" xfId="0" applyNumberFormat="1" applyFont="1" applyBorder="1"/>
    <xf numFmtId="0" fontId="4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0" xfId="0" applyFont="1"/>
    <xf numFmtId="1" fontId="4" fillId="0" borderId="0" xfId="0" applyNumberFormat="1" applyFont="1"/>
    <xf numFmtId="164" fontId="4" fillId="0" borderId="0" xfId="18" applyNumberFormat="1" applyFont="1"/>
    <xf numFmtId="0" fontId="4" fillId="0" borderId="5" xfId="0" applyFont="1" applyBorder="1"/>
    <xf numFmtId="3" fontId="4" fillId="0" borderId="5" xfId="0" applyNumberFormat="1" applyFont="1" applyBorder="1"/>
    <xf numFmtId="0" fontId="4" fillId="0" borderId="6" xfId="0" applyFont="1" applyBorder="1"/>
    <xf numFmtId="3" fontId="4" fillId="0" borderId="7" xfId="18" applyNumberFormat="1" applyFont="1" applyBorder="1"/>
    <xf numFmtId="3" fontId="4" fillId="0" borderId="8" xfId="18" applyNumberFormat="1" applyFont="1" applyBorder="1"/>
    <xf numFmtId="0" fontId="7" fillId="0" borderId="9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4" fillId="2" borderId="10" xfId="0" applyFont="1" applyFill="1" applyBorder="1"/>
    <xf numFmtId="3" fontId="4" fillId="2" borderId="11" xfId="0" applyNumberFormat="1" applyFont="1" applyFill="1" applyBorder="1"/>
    <xf numFmtId="3" fontId="4" fillId="0" borderId="5" xfId="16" applyNumberFormat="1" applyFont="1" applyBorder="1"/>
    <xf numFmtId="3" fontId="4" fillId="3" borderId="1" xfId="0" applyNumberFormat="1" applyFont="1" applyFill="1" applyBorder="1"/>
    <xf numFmtId="3" fontId="4" fillId="3" borderId="5" xfId="16" applyNumberFormat="1" applyFont="1" applyFill="1" applyBorder="1"/>
    <xf numFmtId="3" fontId="4" fillId="2" borderId="1" xfId="0" applyNumberFormat="1" applyFont="1" applyFill="1" applyBorder="1"/>
    <xf numFmtId="3" fontId="4" fillId="2" borderId="5" xfId="16" applyNumberFormat="1" applyFont="1" applyFill="1" applyBorder="1"/>
    <xf numFmtId="4" fontId="4" fillId="0" borderId="5" xfId="0" applyNumberFormat="1" applyFont="1" applyBorder="1"/>
    <xf numFmtId="166" fontId="4" fillId="0" borderId="5" xfId="0" applyNumberFormat="1" applyFont="1" applyBorder="1"/>
    <xf numFmtId="3" fontId="8" fillId="4" borderId="1" xfId="0" applyNumberFormat="1" applyFont="1" applyFill="1" applyBorder="1"/>
    <xf numFmtId="3" fontId="8" fillId="4" borderId="5" xfId="16" applyNumberFormat="1" applyFont="1" applyFill="1" applyBorder="1"/>
    <xf numFmtId="165" fontId="4" fillId="0" borderId="5" xfId="16" applyNumberFormat="1" applyFont="1" applyBorder="1" applyAlignment="1">
      <alignment horizontal="right"/>
    </xf>
    <xf numFmtId="3" fontId="4" fillId="2" borderId="6" xfId="0" applyNumberFormat="1" applyFont="1" applyFill="1" applyBorder="1"/>
    <xf numFmtId="3" fontId="4" fillId="2" borderId="8" xfId="0" applyNumberFormat="1" applyFont="1" applyFill="1" applyBorder="1"/>
    <xf numFmtId="3" fontId="7" fillId="0" borderId="3" xfId="0" applyNumberFormat="1" applyFont="1" applyBorder="1"/>
    <xf numFmtId="3" fontId="4" fillId="0" borderId="9" xfId="0" applyNumberFormat="1" applyFont="1" applyBorder="1"/>
    <xf numFmtId="3" fontId="8" fillId="5" borderId="1" xfId="0" applyNumberFormat="1" applyFont="1" applyFill="1" applyBorder="1"/>
    <xf numFmtId="3" fontId="8" fillId="5" borderId="5" xfId="0" applyNumberFormat="1" applyFont="1" applyFill="1" applyBorder="1"/>
    <xf numFmtId="3" fontId="8" fillId="3" borderId="6" xfId="0" applyNumberFormat="1" applyFont="1" applyFill="1" applyBorder="1"/>
    <xf numFmtId="3" fontId="8" fillId="3" borderId="8" xfId="18" applyNumberFormat="1" applyFont="1" applyFill="1" applyBorder="1"/>
    <xf numFmtId="3" fontId="4" fillId="0" borderId="0" xfId="18" applyNumberFormat="1" applyFont="1" applyBorder="1"/>
    <xf numFmtId="3" fontId="4" fillId="0" borderId="9" xfId="18" applyNumberFormat="1" applyFont="1" applyBorder="1"/>
    <xf numFmtId="3" fontId="8" fillId="3" borderId="1" xfId="0" applyNumberFormat="1" applyFont="1" applyFill="1" applyBorder="1"/>
    <xf numFmtId="3" fontId="8" fillId="3" borderId="5" xfId="18" applyNumberFormat="1" applyFont="1" applyFill="1" applyBorder="1"/>
    <xf numFmtId="3" fontId="8" fillId="4" borderId="5" xfId="18" applyNumberFormat="1" applyFont="1" applyFill="1" applyBorder="1"/>
    <xf numFmtId="3" fontId="9" fillId="4" borderId="6" xfId="0" applyNumberFormat="1" applyFont="1" applyFill="1" applyBorder="1"/>
    <xf numFmtId="3" fontId="9" fillId="4" borderId="8" xfId="18" applyNumberFormat="1" applyFont="1" applyFill="1" applyBorder="1"/>
    <xf numFmtId="3" fontId="7" fillId="2" borderId="6" xfId="0" applyNumberFormat="1" applyFont="1" applyFill="1" applyBorder="1"/>
    <xf numFmtId="3" fontId="7" fillId="2" borderId="8" xfId="18" applyNumberFormat="1" applyFont="1" applyFill="1" applyBorder="1"/>
    <xf numFmtId="3" fontId="8" fillId="3" borderId="10" xfId="0" applyNumberFormat="1" applyFont="1" applyFill="1" applyBorder="1"/>
    <xf numFmtId="3" fontId="8" fillId="3" borderId="11" xfId="18" applyNumberFormat="1" applyFont="1" applyFill="1" applyBorder="1"/>
    <xf numFmtId="3" fontId="8" fillId="3" borderId="3" xfId="0" applyNumberFormat="1" applyFont="1" applyFill="1" applyBorder="1"/>
    <xf numFmtId="3" fontId="8" fillId="3" borderId="9" xfId="0" applyNumberFormat="1" applyFont="1" applyFill="1" applyBorder="1"/>
    <xf numFmtId="0" fontId="2" fillId="3" borderId="10" xfId="0" applyFont="1" applyFill="1" applyBorder="1" applyAlignment="1">
      <alignment wrapText="1"/>
    </xf>
    <xf numFmtId="9" fontId="2" fillId="3" borderId="11" xfId="15" applyFont="1" applyFill="1" applyBorder="1"/>
    <xf numFmtId="9" fontId="4" fillId="0" borderId="5" xfId="16" applyNumberFormat="1" applyFont="1" applyBorder="1" applyAlignment="1">
      <alignment horizontal="right"/>
    </xf>
    <xf numFmtId="16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3" fontId="4" fillId="0" borderId="0" xfId="0" applyNumberFormat="1" applyFont="1" applyBorder="1"/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409575</xdr:colOff>
      <xdr:row>7</xdr:row>
      <xdr:rowOff>114300</xdr:rowOff>
    </xdr:from>
    <xdr:to>
      <xdr:col>8</xdr:col>
      <xdr:colOff>333375</xdr:colOff>
      <xdr:row>11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81675" y="1666875"/>
          <a:ext cx="26670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Development\Incentive%20Programs\CRA\Projects\Copy%20of%20DEV-Crescent%20Update%20ROI%20(7.12.2023)%20-%20OI%20SDH%20(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 Project ROI (High)"/>
      <sheetName val="Commercial ROI "/>
      <sheetName val="Multi-Family ROI"/>
      <sheetName val="Fueling Station ROI "/>
      <sheetName val="Medical Office ROI High"/>
      <sheetName val="Medical Office ROI Medium"/>
      <sheetName val="Medical Office ROI Low"/>
      <sheetName val="Medical Office ROI Low Low"/>
      <sheetName val="Property Tax Comps"/>
      <sheetName val="TIF Pilots (Gahanna High)"/>
      <sheetName val="Total Revenue (Gahanna) (High)"/>
      <sheetName val="Total Project ROI (Medium)"/>
      <sheetName val="TIF Pilots (Gahanna Medium)"/>
      <sheetName val="Total Revenue (Gahanna)(Medium)"/>
      <sheetName val="Total Project ROI (Low)"/>
      <sheetName val="TIF Pilots (Gahanna Low)"/>
      <sheetName val="Total Revenue (Gahanna) (Low)"/>
      <sheetName val="Total Project ROI (Low Low)"/>
      <sheetName val="TIF Pilots (Gahanna Low Low)"/>
      <sheetName val="Total Revenue(Gahanna)(Low-Low)"/>
      <sheetName val="Projected O&amp;I"/>
      <sheetName val="Medical Office ROI High (O&amp;I)"/>
      <sheetName val="Employment &amp; Payroll"/>
      <sheetName val="Total Project ROI High (O&amp;I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7">
          <cell r="F37">
            <v>4017864.5519769234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611C9-791B-42E0-BE64-2E6E1FBEBDF1}">
  <dimension ref="A1:I38"/>
  <sheetViews>
    <sheetView tabSelected="1" workbookViewId="0" topLeftCell="A1">
      <selection activeCell="K29" sqref="K29"/>
    </sheetView>
  </sheetViews>
  <sheetFormatPr defaultColWidth="9.140625" defaultRowHeight="15"/>
  <cols>
    <col min="1" max="1" width="36.8515625" style="0" customWidth="1"/>
    <col min="2" max="2" width="12.00390625" style="0" customWidth="1"/>
    <col min="3" max="3" width="9.421875" style="0" customWidth="1"/>
    <col min="4" max="4" width="11.421875" style="0" customWidth="1"/>
    <col min="5" max="5" width="10.8515625" style="0" customWidth="1"/>
    <col min="6" max="6" width="10.7109375" style="0" customWidth="1"/>
    <col min="7" max="7" width="11.421875" style="0" customWidth="1"/>
    <col min="8" max="8" width="19.00390625" style="0" customWidth="1"/>
  </cols>
  <sheetData>
    <row r="1" spans="1:2" ht="15.75" thickBot="1">
      <c r="A1" t="s">
        <v>0</v>
      </c>
      <c r="B1" s="1"/>
    </row>
    <row r="2" spans="1:9" ht="15">
      <c r="A2" s="14"/>
      <c r="B2" s="15">
        <v>2025</v>
      </c>
      <c r="C2" s="15">
        <v>2026</v>
      </c>
      <c r="D2" s="15">
        <v>2027</v>
      </c>
      <c r="E2" s="15">
        <v>2028</v>
      </c>
      <c r="F2" s="15">
        <v>2029</v>
      </c>
      <c r="G2" s="16" t="s">
        <v>34</v>
      </c>
      <c r="H2" s="25" t="s">
        <v>1</v>
      </c>
      <c r="I2" s="5"/>
    </row>
    <row r="3" spans="1:9" ht="15">
      <c r="A3" s="11"/>
      <c r="B3" s="17">
        <v>1</v>
      </c>
      <c r="C3" s="17">
        <v>2</v>
      </c>
      <c r="D3" s="17">
        <v>3</v>
      </c>
      <c r="E3" s="17">
        <v>4</v>
      </c>
      <c r="F3" s="17">
        <v>5</v>
      </c>
      <c r="G3" s="63" t="s">
        <v>43</v>
      </c>
      <c r="H3" s="26" t="s">
        <v>2</v>
      </c>
      <c r="I3" s="5"/>
    </row>
    <row r="4" spans="1:8" ht="15">
      <c r="A4" s="11" t="s">
        <v>3</v>
      </c>
      <c r="B4" s="6">
        <v>215</v>
      </c>
      <c r="C4" s="18">
        <v>217</v>
      </c>
      <c r="D4" s="18">
        <v>220</v>
      </c>
      <c r="E4" s="18">
        <v>223</v>
      </c>
      <c r="F4" s="18">
        <v>226</v>
      </c>
      <c r="G4" s="19">
        <v>250</v>
      </c>
      <c r="H4" s="20"/>
    </row>
    <row r="5" spans="1:8" ht="15">
      <c r="A5" s="11" t="s">
        <v>4</v>
      </c>
      <c r="B5" s="4">
        <v>28000000</v>
      </c>
      <c r="C5" s="4">
        <v>28504000</v>
      </c>
      <c r="D5" s="4">
        <v>30071720</v>
      </c>
      <c r="E5" s="4">
        <f>D5*1.05</f>
        <v>31575306</v>
      </c>
      <c r="F5" s="4">
        <f>E5*1.05</f>
        <v>33154071.3</v>
      </c>
      <c r="G5" s="4">
        <v>1567446634.8297658</v>
      </c>
      <c r="H5" s="21">
        <f>SUM(B5:G5)</f>
        <v>1718751732.1297657</v>
      </c>
    </row>
    <row r="6" spans="1:8" ht="15.75" thickBot="1">
      <c r="A6" s="22" t="s">
        <v>5</v>
      </c>
      <c r="B6" s="23">
        <f aca="true" t="shared" si="0" ref="B6:G6">B5*2.5%</f>
        <v>700000</v>
      </c>
      <c r="C6" s="23">
        <f t="shared" si="0"/>
        <v>712600</v>
      </c>
      <c r="D6" s="23">
        <f t="shared" si="0"/>
        <v>751793</v>
      </c>
      <c r="E6" s="23">
        <f t="shared" si="0"/>
        <v>789382.65</v>
      </c>
      <c r="F6" s="23">
        <f t="shared" si="0"/>
        <v>828851.7825000001</v>
      </c>
      <c r="G6" s="23">
        <f t="shared" si="0"/>
        <v>39186165.87074415</v>
      </c>
      <c r="H6" s="24">
        <f>SUM(B6:G6)</f>
        <v>42968793.30324414</v>
      </c>
    </row>
    <row r="7" spans="1:8" ht="30.75" thickBot="1">
      <c r="A7" s="27" t="s">
        <v>6</v>
      </c>
      <c r="B7" s="28"/>
      <c r="G7" s="60" t="s">
        <v>7</v>
      </c>
      <c r="H7" s="61">
        <f>(B37-B38)/B38</f>
        <v>5.162652149223758</v>
      </c>
    </row>
    <row r="8" spans="1:2" ht="15">
      <c r="A8" s="9" t="s">
        <v>8</v>
      </c>
      <c r="B8" s="29">
        <v>1935900</v>
      </c>
    </row>
    <row r="9" spans="1:2" ht="15">
      <c r="A9" s="30" t="s">
        <v>9</v>
      </c>
      <c r="B9" s="31"/>
    </row>
    <row r="10" spans="1:4" ht="15">
      <c r="A10" s="32" t="s">
        <v>42</v>
      </c>
      <c r="B10" s="33">
        <v>1869421</v>
      </c>
      <c r="C10" s="6" t="s">
        <v>41</v>
      </c>
      <c r="D10" s="6"/>
    </row>
    <row r="11" spans="1:2" ht="15">
      <c r="A11" s="9" t="s">
        <v>10</v>
      </c>
      <c r="B11" s="29">
        <v>18000000</v>
      </c>
    </row>
    <row r="12" spans="1:8" ht="18" customHeight="1">
      <c r="A12" s="9" t="s">
        <v>11</v>
      </c>
      <c r="B12" s="34">
        <v>0.01</v>
      </c>
      <c r="H12" s="3"/>
    </row>
    <row r="13" spans="1:3" ht="15">
      <c r="A13" s="9" t="s">
        <v>12</v>
      </c>
      <c r="B13" s="21">
        <v>30</v>
      </c>
      <c r="C13" s="2"/>
    </row>
    <row r="14" spans="1:8" ht="15">
      <c r="A14" s="9" t="s">
        <v>13</v>
      </c>
      <c r="B14" s="35">
        <f>(1+0.01)^15</f>
        <v>1.1609689553699984</v>
      </c>
      <c r="C14" s="6"/>
      <c r="D14" s="7">
        <f>B18-B19</f>
        <v>141358.32982804102</v>
      </c>
      <c r="E14" s="8" t="s">
        <v>26</v>
      </c>
      <c r="F14" s="6"/>
      <c r="G14" s="6"/>
      <c r="H14" s="6"/>
    </row>
    <row r="15" spans="1:8" ht="15">
      <c r="A15" s="36" t="s">
        <v>14</v>
      </c>
      <c r="B15" s="37">
        <f>B14*B11</f>
        <v>20897441.19665997</v>
      </c>
      <c r="C15" s="6"/>
      <c r="D15" s="7">
        <f>D14*10</f>
        <v>1413583.2982804102</v>
      </c>
      <c r="E15" s="8" t="s">
        <v>28</v>
      </c>
      <c r="F15" s="6"/>
      <c r="G15" s="6"/>
      <c r="H15" s="6"/>
    </row>
    <row r="16" spans="1:8" ht="15">
      <c r="A16" s="9" t="s">
        <v>15</v>
      </c>
      <c r="B16" s="38">
        <v>96.634066</v>
      </c>
      <c r="C16" s="6"/>
      <c r="D16" s="7">
        <f>B18*38.75%</f>
        <v>273881.7640418296</v>
      </c>
      <c r="E16" s="8" t="s">
        <v>29</v>
      </c>
      <c r="F16" s="6"/>
      <c r="G16" s="6"/>
      <c r="H16" s="6"/>
    </row>
    <row r="17" spans="1:8" ht="15">
      <c r="A17" s="9" t="s">
        <v>16</v>
      </c>
      <c r="B17" s="62">
        <v>0.8</v>
      </c>
      <c r="C17" s="6"/>
      <c r="D17" s="7">
        <f>D16*20</f>
        <v>5477635.280836592</v>
      </c>
      <c r="E17" s="8" t="s">
        <v>31</v>
      </c>
      <c r="F17" s="6"/>
      <c r="G17" s="6"/>
      <c r="H17" s="6"/>
    </row>
    <row r="18" spans="1:8" ht="15">
      <c r="A18" s="9" t="s">
        <v>36</v>
      </c>
      <c r="B18" s="21">
        <f>SUM(((B15*0.35)*B16)/1000)</f>
        <v>706791.6491402055</v>
      </c>
      <c r="C18" s="6"/>
      <c r="D18" s="6"/>
      <c r="E18" s="6"/>
      <c r="F18" s="6"/>
      <c r="G18" s="6"/>
      <c r="H18" s="6"/>
    </row>
    <row r="19" spans="1:8" ht="15">
      <c r="A19" s="65" t="s">
        <v>45</v>
      </c>
      <c r="B19" s="21">
        <f>B18*0.8</f>
        <v>565433.3193121644</v>
      </c>
      <c r="C19" s="6"/>
      <c r="D19" s="6"/>
      <c r="E19" s="6"/>
      <c r="F19" s="6"/>
      <c r="G19" s="6"/>
      <c r="H19" s="6"/>
    </row>
    <row r="20" spans="1:8" ht="15">
      <c r="A20" s="4" t="s">
        <v>35</v>
      </c>
      <c r="B20" s="21">
        <f>SUM(B18)*10*B17</f>
        <v>5654333.193121644</v>
      </c>
      <c r="C20" s="9">
        <f>B20/2</f>
        <v>2827166.596560822</v>
      </c>
      <c r="D20" s="10" t="s">
        <v>46</v>
      </c>
      <c r="E20" s="6"/>
      <c r="F20" s="6"/>
      <c r="G20" s="6"/>
      <c r="H20" s="6"/>
    </row>
    <row r="21" spans="1:8" ht="15.75" thickBot="1">
      <c r="A21" s="39" t="s">
        <v>17</v>
      </c>
      <c r="B21" s="40">
        <f>B20*2.53%</f>
        <v>143054.6297859776</v>
      </c>
      <c r="C21" s="6"/>
      <c r="D21" s="6"/>
      <c r="E21" s="6"/>
      <c r="F21" s="6"/>
      <c r="G21" s="6"/>
      <c r="H21" s="6"/>
    </row>
    <row r="22" spans="1:8" ht="15.75" thickBot="1">
      <c r="A22" s="4"/>
      <c r="B22" s="4"/>
      <c r="C22" s="6"/>
      <c r="D22" s="66" t="s">
        <v>38</v>
      </c>
      <c r="E22" s="66"/>
      <c r="F22" s="66"/>
      <c r="G22" s="66"/>
      <c r="H22" s="66"/>
    </row>
    <row r="23" spans="1:8" ht="15">
      <c r="A23" s="41" t="s">
        <v>18</v>
      </c>
      <c r="B23" s="42"/>
      <c r="C23" s="11"/>
      <c r="D23" s="66"/>
      <c r="E23" s="66"/>
      <c r="F23" s="66"/>
      <c r="G23" s="66"/>
      <c r="H23" s="66"/>
    </row>
    <row r="24" spans="1:8" ht="15">
      <c r="A24" s="43" t="s">
        <v>19</v>
      </c>
      <c r="B24" s="44">
        <f>B15</f>
        <v>20897441.19665997</v>
      </c>
      <c r="C24" s="6"/>
      <c r="D24" s="6"/>
      <c r="E24" s="6"/>
      <c r="F24" s="6"/>
      <c r="G24" s="6"/>
      <c r="H24" s="6"/>
    </row>
    <row r="25" spans="1:8" ht="15.75" thickBot="1">
      <c r="A25" s="45" t="s">
        <v>20</v>
      </c>
      <c r="B25" s="46">
        <f>H6</f>
        <v>42968793.30324414</v>
      </c>
      <c r="D25" s="12">
        <v>8721211</v>
      </c>
      <c r="E25" s="4" t="s">
        <v>37</v>
      </c>
      <c r="F25" s="4"/>
      <c r="G25" s="6"/>
      <c r="H25" s="6"/>
    </row>
    <row r="26" spans="1:4" ht="15.75" thickBot="1">
      <c r="A26" s="4"/>
      <c r="B26" s="47"/>
      <c r="C26" s="13">
        <f>D25*0.5</f>
        <v>4360605.5</v>
      </c>
      <c r="D26" s="10" t="s">
        <v>39</v>
      </c>
    </row>
    <row r="27" spans="1:9" ht="16.5" customHeight="1">
      <c r="A27" s="41" t="s">
        <v>21</v>
      </c>
      <c r="B27" s="48"/>
      <c r="C27" s="4">
        <f>SUM(C20:C26)</f>
        <v>7187772.096560822</v>
      </c>
      <c r="D27" s="67" t="s">
        <v>40</v>
      </c>
      <c r="E27" s="68"/>
      <c r="F27" s="68"/>
      <c r="G27" s="68"/>
      <c r="H27" s="68"/>
      <c r="I27" s="68"/>
    </row>
    <row r="28" spans="1:2" ht="15">
      <c r="A28" s="49" t="s">
        <v>22</v>
      </c>
      <c r="B28" s="50">
        <f>SUM((B24/2)*2.5%)</f>
        <v>261218.01495824964</v>
      </c>
    </row>
    <row r="29" spans="1:7" ht="15">
      <c r="A29" s="36" t="s">
        <v>23</v>
      </c>
      <c r="B29" s="51">
        <f>SUM(((B15*0.35)*5)/1000)*30</f>
        <v>1097115.6628246484</v>
      </c>
      <c r="C29" s="64"/>
      <c r="D29" s="69" t="s">
        <v>44</v>
      </c>
      <c r="E29" s="70"/>
      <c r="F29" s="70"/>
      <c r="G29" s="12">
        <f>B10+B33</f>
        <v>7523754.193121644</v>
      </c>
    </row>
    <row r="30" spans="1:2" ht="15.75" thickBot="1">
      <c r="A30" s="52" t="s">
        <v>24</v>
      </c>
      <c r="B30" s="53">
        <f>SUM((B24/2)*7.5%)</f>
        <v>783654.0448747489</v>
      </c>
    </row>
    <row r="31" spans="1:2" ht="15.75" thickBot="1">
      <c r="A31" s="4"/>
      <c r="B31" s="47"/>
    </row>
    <row r="32" spans="1:2" ht="15">
      <c r="A32" s="41" t="s">
        <v>25</v>
      </c>
      <c r="B32" s="48"/>
    </row>
    <row r="33" spans="1:2" ht="15.75" thickBot="1">
      <c r="A33" s="54" t="s">
        <v>27</v>
      </c>
      <c r="B33" s="55">
        <f>B20</f>
        <v>5654333.193121644</v>
      </c>
    </row>
    <row r="34" spans="1:2" ht="15.75" thickBot="1">
      <c r="A34" s="4"/>
      <c r="B34" s="47"/>
    </row>
    <row r="35" spans="1:2" ht="15.75" thickBot="1">
      <c r="A35" s="56" t="s">
        <v>30</v>
      </c>
      <c r="B35" s="57">
        <f>'[1]TIF Pilots (Gahanna High)'!F37</f>
        <v>4017864.5519769234</v>
      </c>
    </row>
    <row r="36" spans="1:2" ht="15.75" thickBot="1">
      <c r="A36" s="4"/>
      <c r="B36" s="4"/>
    </row>
    <row r="37" spans="1:2" ht="15">
      <c r="A37" s="58" t="s">
        <v>32</v>
      </c>
      <c r="B37" s="59">
        <f>H6+B9+B28+B35</f>
        <v>47247875.87017932</v>
      </c>
    </row>
    <row r="38" spans="1:2" ht="15.75" thickBot="1">
      <c r="A38" s="39" t="s">
        <v>33</v>
      </c>
      <c r="B38" s="40">
        <f>B7+B10+B21+B33</f>
        <v>7666808.822907621</v>
      </c>
    </row>
  </sheetData>
  <mergeCells count="3">
    <mergeCell ref="D22:H23"/>
    <mergeCell ref="D27:I27"/>
    <mergeCell ref="D29:F29"/>
  </mergeCells>
  <printOptions/>
  <pageMargins left="0.2" right="0.2" top="0.25" bottom="0.2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Hamons</dc:creator>
  <cp:keywords/>
  <dc:description/>
  <cp:lastModifiedBy>Laurie Jadwin</cp:lastModifiedBy>
  <cp:lastPrinted>2023-07-24T18:03:42Z</cp:lastPrinted>
  <dcterms:created xsi:type="dcterms:W3CDTF">2023-07-18T15:34:09Z</dcterms:created>
  <dcterms:modified xsi:type="dcterms:W3CDTF">2023-07-27T19:54:03Z</dcterms:modified>
  <cp:category/>
  <cp:version/>
  <cp:contentType/>
  <cp:contentStatus/>
</cp:coreProperties>
</file>