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hanna.gov\profile\fd2\jeff.spence\Desktop\"/>
    </mc:Choice>
  </mc:AlternateContent>
  <xr:revisionPtr revIDLastSave="0" documentId="8_{D36F60B5-272B-420A-9ED3-BCBA143AED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O Cost Analysis #1" sheetId="2" r:id="rId1"/>
    <sheet name="SRO Cost Analysis #2" sheetId="3" r:id="rId2"/>
    <sheet name="SRO Cost Analysis #3" sheetId="4" r:id="rId3"/>
    <sheet name="SRO Cost Analysis #4 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2" l="1"/>
  <c r="L37" i="2"/>
  <c r="M37" i="2" s="1"/>
  <c r="L36" i="2"/>
  <c r="M36" i="2" s="1"/>
  <c r="L35" i="2"/>
  <c r="M35" i="2"/>
  <c r="G37" i="2"/>
  <c r="G36" i="2"/>
  <c r="G35" i="2"/>
  <c r="L29" i="2"/>
  <c r="M29" i="2" s="1"/>
  <c r="L28" i="2"/>
  <c r="M28" i="2" s="1"/>
  <c r="L27" i="2"/>
  <c r="M27" i="2" s="1"/>
  <c r="G29" i="2"/>
  <c r="G28" i="2"/>
  <c r="G27" i="2"/>
  <c r="G34" i="2"/>
  <c r="L34" i="2" s="1"/>
  <c r="G33" i="2"/>
  <c r="G32" i="2"/>
  <c r="G30" i="2"/>
  <c r="G26" i="2"/>
  <c r="G25" i="2"/>
  <c r="G24" i="2"/>
  <c r="G22" i="2"/>
  <c r="G39" i="6"/>
  <c r="G38" i="6"/>
  <c r="G37" i="6"/>
  <c r="G35" i="6"/>
  <c r="D16" i="6"/>
  <c r="D15" i="6"/>
  <c r="G15" i="6" s="1"/>
  <c r="D14" i="6"/>
  <c r="D13" i="6"/>
  <c r="G13" i="6" s="1"/>
  <c r="G44" i="6"/>
  <c r="L43" i="6"/>
  <c r="G43" i="6"/>
  <c r="M43" i="6" s="1"/>
  <c r="G42" i="6"/>
  <c r="L41" i="6"/>
  <c r="M41" i="6" s="1"/>
  <c r="L40" i="6"/>
  <c r="G40" i="6"/>
  <c r="M40" i="6" s="1"/>
  <c r="L38" i="6"/>
  <c r="M38" i="6" s="1"/>
  <c r="L37" i="6"/>
  <c r="M37" i="6" s="1"/>
  <c r="L36" i="6"/>
  <c r="M36" i="6"/>
  <c r="L35" i="6"/>
  <c r="M35" i="6" s="1"/>
  <c r="M34" i="6"/>
  <c r="L34" i="6"/>
  <c r="G34" i="6"/>
  <c r="G33" i="6"/>
  <c r="L32" i="6"/>
  <c r="G32" i="6"/>
  <c r="M32" i="6" s="1"/>
  <c r="M31" i="6"/>
  <c r="L31" i="6"/>
  <c r="G30" i="6"/>
  <c r="L29" i="6"/>
  <c r="L28" i="6"/>
  <c r="L27" i="6"/>
  <c r="G23" i="6"/>
  <c r="D23" i="6"/>
  <c r="B23" i="6"/>
  <c r="D22" i="6"/>
  <c r="G22" i="6" s="1"/>
  <c r="D21" i="6"/>
  <c r="B21" i="6"/>
  <c r="G21" i="6" s="1"/>
  <c r="G20" i="6"/>
  <c r="D20" i="6"/>
  <c r="B16" i="6"/>
  <c r="G16" i="6" s="1"/>
  <c r="G14" i="6"/>
  <c r="B14" i="6"/>
  <c r="D10" i="6"/>
  <c r="B10" i="6"/>
  <c r="G10" i="6" s="1"/>
  <c r="D9" i="6"/>
  <c r="G9" i="6" s="1"/>
  <c r="D8" i="6"/>
  <c r="B8" i="6"/>
  <c r="G8" i="6" s="1"/>
  <c r="D7" i="6"/>
  <c r="G7" i="6" s="1"/>
  <c r="G44" i="4"/>
  <c r="G43" i="4"/>
  <c r="L43" i="4" s="1"/>
  <c r="M43" i="4" s="1"/>
  <c r="G42" i="4"/>
  <c r="G40" i="4"/>
  <c r="D22" i="4"/>
  <c r="G22" i="4" s="1"/>
  <c r="D20" i="4"/>
  <c r="G20" i="4" s="1"/>
  <c r="L40" i="4"/>
  <c r="M40" i="4" s="1"/>
  <c r="L39" i="4"/>
  <c r="G39" i="4"/>
  <c r="M39" i="4" s="1"/>
  <c r="G38" i="4"/>
  <c r="M37" i="4"/>
  <c r="L37" i="4"/>
  <c r="G37" i="4"/>
  <c r="G36" i="4"/>
  <c r="L36" i="4" s="1"/>
  <c r="M36" i="4" s="1"/>
  <c r="L35" i="4"/>
  <c r="M35" i="4" s="1"/>
  <c r="G35" i="4"/>
  <c r="G34" i="4"/>
  <c r="G33" i="4"/>
  <c r="M32" i="4"/>
  <c r="L32" i="4"/>
  <c r="G32" i="4"/>
  <c r="L31" i="4"/>
  <c r="M31" i="4" s="1"/>
  <c r="G30" i="4"/>
  <c r="L29" i="4"/>
  <c r="L28" i="4"/>
  <c r="L27" i="4"/>
  <c r="D23" i="4"/>
  <c r="B23" i="4"/>
  <c r="G23" i="4" s="1"/>
  <c r="D21" i="4"/>
  <c r="B21" i="4"/>
  <c r="G21" i="4" s="1"/>
  <c r="D16" i="4"/>
  <c r="B16" i="4"/>
  <c r="G16" i="4" s="1"/>
  <c r="D15" i="4"/>
  <c r="G15" i="4" s="1"/>
  <c r="D14" i="4"/>
  <c r="B14" i="4"/>
  <c r="G14" i="4" s="1"/>
  <c r="G13" i="4"/>
  <c r="D13" i="4"/>
  <c r="D10" i="4"/>
  <c r="B10" i="4"/>
  <c r="G10" i="4" s="1"/>
  <c r="G9" i="4"/>
  <c r="D9" i="4"/>
  <c r="D8" i="4"/>
  <c r="B8" i="4"/>
  <c r="G8" i="4" s="1"/>
  <c r="D7" i="4"/>
  <c r="G7" i="4" s="1"/>
  <c r="G11" i="4" s="1"/>
  <c r="M46" i="3"/>
  <c r="G44" i="3"/>
  <c r="G43" i="3"/>
  <c r="G40" i="3"/>
  <c r="G42" i="3"/>
  <c r="G41" i="3"/>
  <c r="L41" i="3"/>
  <c r="M41" i="3" s="1"/>
  <c r="D22" i="3"/>
  <c r="G22" i="3" s="1"/>
  <c r="D20" i="3"/>
  <c r="G20" i="3" s="1"/>
  <c r="D23" i="3"/>
  <c r="B23" i="3"/>
  <c r="D21" i="3"/>
  <c r="B21" i="3"/>
  <c r="G21" i="3" s="1"/>
  <c r="G39" i="3"/>
  <c r="G38" i="3"/>
  <c r="G37" i="3"/>
  <c r="L37" i="3" s="1"/>
  <c r="M37" i="3" s="1"/>
  <c r="G36" i="3"/>
  <c r="G35" i="3"/>
  <c r="G34" i="3"/>
  <c r="L34" i="3" s="1"/>
  <c r="M34" i="3" s="1"/>
  <c r="G33" i="3"/>
  <c r="G32" i="3"/>
  <c r="L32" i="3" s="1"/>
  <c r="L31" i="3"/>
  <c r="M31" i="3" s="1"/>
  <c r="G30" i="3"/>
  <c r="L29" i="3"/>
  <c r="L28" i="3"/>
  <c r="L27" i="3"/>
  <c r="D16" i="3"/>
  <c r="B16" i="3"/>
  <c r="D15" i="3"/>
  <c r="G15" i="3" s="1"/>
  <c r="D14" i="3"/>
  <c r="B14" i="3"/>
  <c r="D13" i="3"/>
  <c r="G13" i="3" s="1"/>
  <c r="D10" i="3"/>
  <c r="B10" i="3"/>
  <c r="D9" i="3"/>
  <c r="G9" i="3" s="1"/>
  <c r="D8" i="3"/>
  <c r="B8" i="3"/>
  <c r="D7" i="3"/>
  <c r="G7" i="3" s="1"/>
  <c r="G17" i="6" l="1"/>
  <c r="G24" i="6"/>
  <c r="G11" i="6"/>
  <c r="M30" i="6"/>
  <c r="M44" i="6"/>
  <c r="L30" i="6"/>
  <c r="L33" i="6"/>
  <c r="M33" i="6" s="1"/>
  <c r="L44" i="6"/>
  <c r="L39" i="6"/>
  <c r="M39" i="6" s="1"/>
  <c r="L42" i="6"/>
  <c r="M42" i="6" s="1"/>
  <c r="G24" i="4"/>
  <c r="G17" i="4"/>
  <c r="M33" i="4"/>
  <c r="M38" i="4"/>
  <c r="M34" i="4"/>
  <c r="L38" i="4"/>
  <c r="L30" i="4"/>
  <c r="M30" i="4" s="1"/>
  <c r="L33" i="4"/>
  <c r="L41" i="4"/>
  <c r="M41" i="4" s="1"/>
  <c r="L44" i="4"/>
  <c r="M44" i="4" s="1"/>
  <c r="L34" i="4"/>
  <c r="L42" i="4"/>
  <c r="M42" i="4" s="1"/>
  <c r="M43" i="3"/>
  <c r="M44" i="3"/>
  <c r="L44" i="3"/>
  <c r="L42" i="3"/>
  <c r="M42" i="3" s="1"/>
  <c r="L40" i="3"/>
  <c r="M40" i="3" s="1"/>
  <c r="L43" i="3"/>
  <c r="G23" i="3"/>
  <c r="G24" i="3"/>
  <c r="G8" i="3"/>
  <c r="G10" i="3"/>
  <c r="G14" i="3"/>
  <c r="G16" i="3"/>
  <c r="L39" i="3"/>
  <c r="M39" i="3" s="1"/>
  <c r="L38" i="3"/>
  <c r="M38" i="3" s="1"/>
  <c r="L35" i="3"/>
  <c r="M35" i="3" s="1"/>
  <c r="L30" i="3"/>
  <c r="M30" i="3" s="1"/>
  <c r="L33" i="3"/>
  <c r="M33" i="3" s="1"/>
  <c r="L36" i="3"/>
  <c r="M36" i="3" s="1"/>
  <c r="M32" i="3"/>
  <c r="M28" i="6" l="1"/>
  <c r="M27" i="6"/>
  <c r="M29" i="6"/>
  <c r="M28" i="4"/>
  <c r="M27" i="4"/>
  <c r="M29" i="4"/>
  <c r="G11" i="3"/>
  <c r="G17" i="3"/>
  <c r="M46" i="6" l="1"/>
  <c r="G55" i="6" s="1"/>
  <c r="M46" i="4"/>
  <c r="G55" i="4" s="1"/>
  <c r="M27" i="3"/>
  <c r="M29" i="3"/>
  <c r="M28" i="3"/>
  <c r="G55" i="3" l="1"/>
  <c r="G31" i="2" l="1"/>
  <c r="L30" i="2"/>
  <c r="L22" i="2"/>
  <c r="L23" i="2"/>
  <c r="M30" i="2" l="1"/>
  <c r="M22" i="2"/>
  <c r="M34" i="2" l="1"/>
  <c r="L26" i="2"/>
  <c r="M26" i="2" s="1"/>
  <c r="L31" i="2"/>
  <c r="M31" i="2" s="1"/>
  <c r="L33" i="2"/>
  <c r="M33" i="2" s="1"/>
  <c r="L24" i="2"/>
  <c r="D16" i="2"/>
  <c r="G16" i="2" s="1"/>
  <c r="D15" i="2"/>
  <c r="G15" i="2" s="1"/>
  <c r="D14" i="2"/>
  <c r="G14" i="2" s="1"/>
  <c r="D13" i="2"/>
  <c r="G13" i="2" s="1"/>
  <c r="D10" i="2"/>
  <c r="G10" i="2" s="1"/>
  <c r="D9" i="2"/>
  <c r="G9" i="2" s="1"/>
  <c r="D8" i="2"/>
  <c r="G8" i="2" s="1"/>
  <c r="D7" i="2"/>
  <c r="G7" i="2" s="1"/>
  <c r="L19" i="2"/>
  <c r="L21" i="2"/>
  <c r="L20" i="2"/>
  <c r="G17" i="2" l="1"/>
  <c r="L32" i="2"/>
  <c r="M32" i="2" s="1"/>
  <c r="G11" i="2"/>
  <c r="M23" i="2"/>
  <c r="M24" i="2"/>
  <c r="L25" i="2"/>
  <c r="M25" i="2" s="1"/>
  <c r="M21" i="2" l="1"/>
  <c r="M20" i="2"/>
  <c r="M19" i="2"/>
  <c r="G46" i="2" l="1"/>
  <c r="G56" i="3" s="1"/>
  <c r="G56" i="4" l="1"/>
  <c r="G56" i="6"/>
</calcChain>
</file>

<file path=xl/sharedStrings.xml><?xml version="1.0" encoding="utf-8"?>
<sst xmlns="http://schemas.openxmlformats.org/spreadsheetml/2006/main" count="524" uniqueCount="61">
  <si>
    <t>Rate/hr.</t>
  </si>
  <si>
    <t>Annual hrs.</t>
  </si>
  <si>
    <t>x</t>
  </si>
  <si>
    <t>hours</t>
  </si>
  <si>
    <t>=</t>
  </si>
  <si>
    <t>Police Pension</t>
  </si>
  <si>
    <t>General Fund</t>
  </si>
  <si>
    <t>Workers Comp</t>
  </si>
  <si>
    <t>Medicare</t>
  </si>
  <si>
    <t>(assumes family coverage)</t>
  </si>
  <si>
    <t>Uniform &amp; Equipment</t>
  </si>
  <si>
    <t>**</t>
  </si>
  <si>
    <t>TOTAL COST</t>
  </si>
  <si>
    <t>Salary and benefits do not include vacation, sick or overtime.</t>
  </si>
  <si>
    <t>after initial purchase vary depending on many factors: damage to equipment and uniforms, weight</t>
  </si>
  <si>
    <t>gain/loss, etc.  Uniform &amp; Equipment total does not include any vehicles that SRO may use.</t>
  </si>
  <si>
    <t>∙ Annual SRO Conference</t>
  </si>
  <si>
    <t xml:space="preserve">SRO Specific Training and Required Updates </t>
  </si>
  <si>
    <t xml:space="preserve">**Uniform &amp; Equipment Notes:  $6,000 is the total cost to outfit a new police officer.  Costs incurred </t>
  </si>
  <si>
    <t>TOTAL</t>
  </si>
  <si>
    <t>NEVER INCLUDED IN INVOICING EXCLUDE</t>
  </si>
  <si>
    <t>∙ Solo Engagement Tactics Course for School-Based Officers</t>
  </si>
  <si>
    <t>Health Insurance 50%</t>
  </si>
  <si>
    <t>Dental Insurance 50%</t>
  </si>
  <si>
    <t>Vision Insurance 50%</t>
  </si>
  <si>
    <t>Life Insurance &amp; EAP 50%</t>
  </si>
  <si>
    <t>Health Insurance 75%</t>
  </si>
  <si>
    <t>Dental Insurance 75%</t>
  </si>
  <si>
    <t>Vision Insurance 75%</t>
  </si>
  <si>
    <t>Life Insurance &amp; EAP 75%</t>
  </si>
  <si>
    <t>Holiday Pay 24 (3.25% increase) 50%</t>
  </si>
  <si>
    <t>HSA 50%</t>
  </si>
  <si>
    <t>HSA 75%</t>
  </si>
  <si>
    <t>Total of four SROs and school pays 50% for 1; 75% for 2; 0% for 3&amp;4.</t>
  </si>
  <si>
    <t>SRO #1 (Step 4) July 1, 2024 - December 31, 2024 (3.25% increase) 50%</t>
  </si>
  <si>
    <t>SRO #1 (Step 4) January 1, 2025 - June 30, 2025 (3.25% increase) 50%</t>
  </si>
  <si>
    <t>Rate for 1/1/25 to 6/30/25 subject to negotiation.  Used same negotiated increase from 2024 as a placeholder.</t>
  </si>
  <si>
    <t>This in no way gurantees any type of increase for 2025.</t>
  </si>
  <si>
    <t>Holiday Pay 25 (3.25% increase) 50%</t>
  </si>
  <si>
    <t>Plus 8% 2025</t>
  </si>
  <si>
    <t>2024 Rates</t>
  </si>
  <si>
    <t>Total Benefit Amount for 2024-2025 Contract</t>
  </si>
  <si>
    <t>Total of four SROs and school pays 50% for 1; 75% for 2; 30% for 3 to 12/31/24 then 50%; 0% for 4.</t>
  </si>
  <si>
    <t>COST OF ADDITIONAL SRO</t>
  </si>
  <si>
    <t>Total of four SROs and school pays 50% for 1; 75% for 2; 50% for 3; 0% for 4.</t>
  </si>
  <si>
    <t>Total of four SROs and school pays 50% for 1; 50% for 2; 50% for 3; 0% for 4.</t>
  </si>
  <si>
    <t>SRO Cost Analysis July 1, 2024 - June 30, 2025</t>
  </si>
  <si>
    <t>SRO Cost Analysis July 1, 2025 - June 30, 2026</t>
  </si>
  <si>
    <t>SRO #1 (Step 4) January 1, 2026 - June 30, 2026 (4.5% increase) 50%</t>
  </si>
  <si>
    <t>Holiday Pay 25 (4.5% increase) 50%</t>
  </si>
  <si>
    <t>Holiday Pay 26 (4.25% increase) 50%</t>
  </si>
  <si>
    <t>SRO #1 (Step 4) July 1, 2025 - December 31, 2025 (4.5% increase) 50%</t>
  </si>
  <si>
    <t>SRO #1 (Step 4) July 1, 2025 - December 31, 2025 (4.5% increase) 75%</t>
  </si>
  <si>
    <t>SRO #1 (Step 4) January 1, 2026 - June 30, 2026 (4.5% increase) 75%</t>
  </si>
  <si>
    <t>Holiday Pay 25 (4.5% increase) 75%</t>
  </si>
  <si>
    <t>Holiday Pay 26 (4.25% increase) 75%</t>
  </si>
  <si>
    <t>2025 Rates</t>
  </si>
  <si>
    <t>Salary and benefits do not include overtime.</t>
  </si>
  <si>
    <t>Short-Term Disability</t>
  </si>
  <si>
    <t>Tuned</t>
  </si>
  <si>
    <t>EAP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</si>
</sst>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2"/>
      <name val="Times New Roman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trike/>
      <sz val="10"/>
      <name val="Times New Roman"/>
      <family val="1"/>
    </font>
    <font>
      <b/>
      <sz val="10"/>
      <name val="Times New Roman"/>
      <family val="1"/>
    </font>
    <font>
      <b/>
      <strike/>
      <sz val="10"/>
      <name val="Cambria"/>
      <family val="1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33">
    <xf numFmtId="0" fontId="0" fillId="0" borderId="0" xfId="0"/>
    <xf numFmtId="0" fontId="4" fillId="0" borderId="0" xfId="0" applyFont="1"/>
    <xf numFmtId="44" fontId="4" fillId="0" borderId="0" xfId="2" applyFont="1"/>
    <xf numFmtId="44" fontId="4" fillId="0" borderId="0" xfId="2" applyFont="1" applyFill="1"/>
    <xf numFmtId="44" fontId="4" fillId="2" borderId="0" xfId="2" applyFont="1" applyFill="1"/>
    <xf numFmtId="0" fontId="4" fillId="3" borderId="0" xfId="0" applyFont="1" applyFill="1"/>
    <xf numFmtId="44" fontId="5" fillId="3" borderId="0" xfId="2" applyFont="1" applyFill="1"/>
    <xf numFmtId="44" fontId="5" fillId="3" borderId="0" xfId="2" applyFont="1" applyFill="1" applyBorder="1"/>
    <xf numFmtId="10" fontId="4" fillId="3" borderId="0" xfId="0" applyNumberFormat="1" applyFont="1" applyFill="1"/>
    <xf numFmtId="0" fontId="6" fillId="3" borderId="0" xfId="0" applyFont="1" applyFill="1"/>
    <xf numFmtId="0" fontId="6" fillId="0" borderId="0" xfId="0" applyFont="1" applyFill="1"/>
    <xf numFmtId="0" fontId="4" fillId="0" borderId="0" xfId="0" applyFont="1" applyFill="1"/>
    <xf numFmtId="0" fontId="3" fillId="0" borderId="0" xfId="4" applyFont="1" applyFill="1" applyAlignment="1">
      <alignment wrapText="1"/>
    </xf>
    <xf numFmtId="44" fontId="4" fillId="0" borderId="0" xfId="0" applyNumberFormat="1" applyFont="1"/>
    <xf numFmtId="44" fontId="4" fillId="3" borderId="0" xfId="2" applyFont="1" applyFill="1" applyAlignment="1">
      <alignment horizontal="center" wrapText="1"/>
    </xf>
    <xf numFmtId="0" fontId="4" fillId="2" borderId="0" xfId="0" applyFont="1" applyFill="1"/>
    <xf numFmtId="0" fontId="4" fillId="3" borderId="0" xfId="0" applyFont="1" applyFill="1" applyAlignment="1">
      <alignment horizontal="center" wrapText="1"/>
    </xf>
    <xf numFmtId="9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4" fontId="4" fillId="3" borderId="0" xfId="0" applyNumberFormat="1" applyFont="1" applyFill="1"/>
    <xf numFmtId="44" fontId="6" fillId="3" borderId="0" xfId="0" applyNumberFormat="1" applyFont="1" applyFill="1"/>
    <xf numFmtId="44" fontId="4" fillId="2" borderId="1" xfId="2" applyFont="1" applyFill="1" applyBorder="1"/>
    <xf numFmtId="44" fontId="4" fillId="3" borderId="0" xfId="2" applyFont="1" applyFill="1" applyBorder="1"/>
    <xf numFmtId="0" fontId="7" fillId="0" borderId="0" xfId="0" applyFont="1"/>
    <xf numFmtId="44" fontId="7" fillId="4" borderId="0" xfId="2" applyFont="1" applyFill="1"/>
    <xf numFmtId="44" fontId="7" fillId="0" borderId="0" xfId="2" applyFont="1"/>
    <xf numFmtId="43" fontId="4" fillId="0" borderId="0" xfId="1" applyFont="1"/>
    <xf numFmtId="44" fontId="6" fillId="0" borderId="0" xfId="2" applyFont="1" applyFill="1"/>
    <xf numFmtId="44" fontId="4" fillId="3" borderId="0" xfId="0" applyNumberFormat="1" applyFont="1" applyFill="1" applyBorder="1"/>
    <xf numFmtId="44" fontId="8" fillId="0" borderId="0" xfId="0" applyNumberFormat="1" applyFont="1" applyAlignment="1">
      <alignment vertical="top"/>
    </xf>
    <xf numFmtId="0" fontId="6" fillId="0" borderId="0" xfId="0" applyFont="1"/>
    <xf numFmtId="44" fontId="4" fillId="3" borderId="1" xfId="0" applyNumberFormat="1" applyFont="1" applyFill="1" applyBorder="1"/>
    <xf numFmtId="0" fontId="4" fillId="0" borderId="0" xfId="0" applyFont="1" applyAlignment="1">
      <alignment horizontal="center"/>
    </xf>
  </cellXfs>
  <cellStyles count="6">
    <cellStyle name="Comma" xfId="1" builtinId="3"/>
    <cellStyle name="Currency" xfId="2" builtinId="4"/>
    <cellStyle name="Currency 2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37</xdr:row>
      <xdr:rowOff>85725</xdr:rowOff>
    </xdr:from>
    <xdr:ext cx="1943100" cy="46458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B6B990-D9EB-4FCA-A9FE-5B8CE9C4F47E}"/>
            </a:ext>
          </a:extLst>
        </xdr:cNvPr>
        <xdr:cNvSpPr txBox="1"/>
      </xdr:nvSpPr>
      <xdr:spPr>
        <a:xfrm>
          <a:off x="3781426" y="2838450"/>
          <a:ext cx="1943100" cy="464585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46</xdr:row>
      <xdr:rowOff>85725</xdr:rowOff>
    </xdr:from>
    <xdr:ext cx="1943100" cy="46458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80AD0A-1443-4478-ABF5-92974E1479D0}"/>
            </a:ext>
          </a:extLst>
        </xdr:cNvPr>
        <xdr:cNvSpPr txBox="1"/>
      </xdr:nvSpPr>
      <xdr:spPr>
        <a:xfrm>
          <a:off x="3811906" y="6158865"/>
          <a:ext cx="1943100" cy="464585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46</xdr:row>
      <xdr:rowOff>85725</xdr:rowOff>
    </xdr:from>
    <xdr:ext cx="1943100" cy="46458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F04C7B-D05B-4AD5-B390-5D22D9ADB2B8}"/>
            </a:ext>
          </a:extLst>
        </xdr:cNvPr>
        <xdr:cNvSpPr txBox="1"/>
      </xdr:nvSpPr>
      <xdr:spPr>
        <a:xfrm>
          <a:off x="3811906" y="8315325"/>
          <a:ext cx="1943100" cy="464585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46</xdr:row>
      <xdr:rowOff>85725</xdr:rowOff>
    </xdr:from>
    <xdr:ext cx="1943100" cy="46458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35BC71-E503-4343-B09E-F5DB633065CB}"/>
            </a:ext>
          </a:extLst>
        </xdr:cNvPr>
        <xdr:cNvSpPr txBox="1"/>
      </xdr:nvSpPr>
      <xdr:spPr>
        <a:xfrm>
          <a:off x="3811906" y="8315325"/>
          <a:ext cx="1943100" cy="464585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workbookViewId="0">
      <selection activeCell="N12" sqref="N12"/>
    </sheetView>
  </sheetViews>
  <sheetFormatPr defaultColWidth="9" defaultRowHeight="12.75" x14ac:dyDescent="0.2"/>
  <cols>
    <col min="1" max="1" width="48.375" style="1" customWidth="1"/>
    <col min="2" max="2" width="18.125" style="1" customWidth="1"/>
    <col min="3" max="3" width="1.75" style="1" bestFit="1" customWidth="1"/>
    <col min="4" max="4" width="10.75" style="1" customWidth="1"/>
    <col min="5" max="5" width="5.625" style="1" customWidth="1"/>
    <col min="6" max="6" width="2.375" style="1" bestFit="1" customWidth="1"/>
    <col min="7" max="7" width="11" style="2" bestFit="1" customWidth="1"/>
    <col min="8" max="8" width="3.625" style="1" customWidth="1"/>
    <col min="9" max="9" width="9" style="1" hidden="1" customWidth="1"/>
    <col min="10" max="10" width="8.375" style="1" customWidth="1"/>
    <col min="11" max="11" width="2.5" style="1" customWidth="1"/>
    <col min="12" max="12" width="9.375" style="1" bestFit="1" customWidth="1"/>
    <col min="13" max="13" width="11.25" style="1" customWidth="1"/>
    <col min="14" max="16384" width="9" style="1"/>
  </cols>
  <sheetData>
    <row r="1" spans="1:12" x14ac:dyDescent="0.2">
      <c r="A1" s="32" t="s">
        <v>47</v>
      </c>
      <c r="B1" s="32"/>
      <c r="C1" s="32"/>
      <c r="D1" s="32"/>
      <c r="E1" s="32"/>
      <c r="F1" s="32"/>
      <c r="G1" s="32"/>
      <c r="H1" s="32"/>
      <c r="I1" s="32"/>
    </row>
    <row r="2" spans="1:12" x14ac:dyDescent="0.2">
      <c r="A2" s="30" t="s">
        <v>33</v>
      </c>
    </row>
    <row r="3" spans="1:12" x14ac:dyDescent="0.2">
      <c r="A3" s="30"/>
    </row>
    <row r="4" spans="1:12" x14ac:dyDescent="0.2">
      <c r="A4" s="30"/>
    </row>
    <row r="5" spans="1:12" x14ac:dyDescent="0.2">
      <c r="A5" s="30"/>
    </row>
    <row r="6" spans="1:12" x14ac:dyDescent="0.2">
      <c r="B6" s="15" t="s">
        <v>0</v>
      </c>
      <c r="C6" s="15"/>
      <c r="D6" s="15" t="s">
        <v>1</v>
      </c>
    </row>
    <row r="7" spans="1:12" x14ac:dyDescent="0.2">
      <c r="A7" s="15" t="s">
        <v>51</v>
      </c>
      <c r="B7" s="4">
        <v>54.99</v>
      </c>
      <c r="C7" s="15" t="s">
        <v>2</v>
      </c>
      <c r="D7" s="15">
        <f>1040*0.5</f>
        <v>520</v>
      </c>
      <c r="E7" s="15" t="s">
        <v>3</v>
      </c>
      <c r="F7" s="15" t="s">
        <v>4</v>
      </c>
      <c r="G7" s="4">
        <f>B7*D7</f>
        <v>28594.799999999999</v>
      </c>
      <c r="J7" s="26"/>
      <c r="L7" s="13"/>
    </row>
    <row r="8" spans="1:12" x14ac:dyDescent="0.2">
      <c r="A8" s="15" t="s">
        <v>48</v>
      </c>
      <c r="B8" s="4">
        <v>57.46</v>
      </c>
      <c r="C8" s="15" t="s">
        <v>2</v>
      </c>
      <c r="D8" s="15">
        <f>1040*0.5</f>
        <v>520</v>
      </c>
      <c r="E8" s="15" t="s">
        <v>3</v>
      </c>
      <c r="F8" s="15" t="s">
        <v>4</v>
      </c>
      <c r="G8" s="4">
        <f>B8*D8</f>
        <v>29879.200000000001</v>
      </c>
      <c r="J8" s="26"/>
      <c r="L8" s="26"/>
    </row>
    <row r="9" spans="1:12" x14ac:dyDescent="0.2">
      <c r="A9" s="15" t="s">
        <v>49</v>
      </c>
      <c r="B9" s="4">
        <v>54.99</v>
      </c>
      <c r="C9" s="15" t="s">
        <v>2</v>
      </c>
      <c r="D9" s="15">
        <f>(64*0.5)</f>
        <v>32</v>
      </c>
      <c r="E9" s="15" t="s">
        <v>3</v>
      </c>
      <c r="F9" s="15" t="s">
        <v>4</v>
      </c>
      <c r="G9" s="4">
        <f>B9*D9</f>
        <v>1759.68</v>
      </c>
      <c r="L9" s="13"/>
    </row>
    <row r="10" spans="1:12" x14ac:dyDescent="0.2">
      <c r="A10" s="15" t="s">
        <v>50</v>
      </c>
      <c r="B10" s="4">
        <v>57.46</v>
      </c>
      <c r="C10" s="15" t="s">
        <v>2</v>
      </c>
      <c r="D10" s="15">
        <f>64*0.5</f>
        <v>32</v>
      </c>
      <c r="E10" s="15" t="s">
        <v>3</v>
      </c>
      <c r="F10" s="15" t="s">
        <v>4</v>
      </c>
      <c r="G10" s="21">
        <f>B10*D10</f>
        <v>1838.72</v>
      </c>
      <c r="L10" s="13"/>
    </row>
    <row r="11" spans="1:12" ht="15" x14ac:dyDescent="0.2">
      <c r="B11" s="2"/>
      <c r="G11" s="4">
        <f>SUM(G7:G10)</f>
        <v>62072.4</v>
      </c>
      <c r="L11" s="29"/>
    </row>
    <row r="12" spans="1:12" x14ac:dyDescent="0.2">
      <c r="B12" s="15" t="s">
        <v>0</v>
      </c>
      <c r="C12" s="15"/>
      <c r="D12" s="15" t="s">
        <v>1</v>
      </c>
      <c r="L12" s="13"/>
    </row>
    <row r="13" spans="1:12" x14ac:dyDescent="0.2">
      <c r="A13" s="15" t="s">
        <v>52</v>
      </c>
      <c r="B13" s="4">
        <v>54.99</v>
      </c>
      <c r="C13" s="15" t="s">
        <v>2</v>
      </c>
      <c r="D13" s="15">
        <f>1040*0.75</f>
        <v>780</v>
      </c>
      <c r="E13" s="15" t="s">
        <v>3</v>
      </c>
      <c r="F13" s="15" t="s">
        <v>4</v>
      </c>
      <c r="G13" s="4">
        <f>B13*D13</f>
        <v>42892.200000000004</v>
      </c>
      <c r="J13" s="26"/>
      <c r="L13" s="13"/>
    </row>
    <row r="14" spans="1:12" x14ac:dyDescent="0.2">
      <c r="A14" s="15" t="s">
        <v>53</v>
      </c>
      <c r="B14" s="4">
        <v>57.46</v>
      </c>
      <c r="C14" s="15" t="s">
        <v>2</v>
      </c>
      <c r="D14" s="15">
        <f>1040*0.75</f>
        <v>780</v>
      </c>
      <c r="E14" s="15" t="s">
        <v>3</v>
      </c>
      <c r="F14" s="15" t="s">
        <v>4</v>
      </c>
      <c r="G14" s="4">
        <f>B14*D14</f>
        <v>44818.8</v>
      </c>
      <c r="J14" s="26"/>
      <c r="L14" s="26"/>
    </row>
    <row r="15" spans="1:12" x14ac:dyDescent="0.2">
      <c r="A15" s="15" t="s">
        <v>54</v>
      </c>
      <c r="B15" s="4">
        <v>54.99</v>
      </c>
      <c r="C15" s="15" t="s">
        <v>2</v>
      </c>
      <c r="D15" s="15">
        <f>(64*0.75)</f>
        <v>48</v>
      </c>
      <c r="E15" s="15" t="s">
        <v>3</v>
      </c>
      <c r="F15" s="15" t="s">
        <v>4</v>
      </c>
      <c r="G15" s="4">
        <f>B15*D15</f>
        <v>2639.52</v>
      </c>
      <c r="L15" s="13"/>
    </row>
    <row r="16" spans="1:12" x14ac:dyDescent="0.2">
      <c r="A16" s="15" t="s">
        <v>55</v>
      </c>
      <c r="B16" s="4">
        <v>57.46</v>
      </c>
      <c r="C16" s="15" t="s">
        <v>2</v>
      </c>
      <c r="D16" s="15">
        <f>64*0.75</f>
        <v>48</v>
      </c>
      <c r="E16" s="15" t="s">
        <v>3</v>
      </c>
      <c r="F16" s="15" t="s">
        <v>4</v>
      </c>
      <c r="G16" s="21">
        <f>B16*D16</f>
        <v>2758.08</v>
      </c>
      <c r="L16" s="13"/>
    </row>
    <row r="17" spans="1:15" x14ac:dyDescent="0.2">
      <c r="B17" s="2"/>
      <c r="G17" s="4">
        <f>SUM(G13:G16)</f>
        <v>93108.6</v>
      </c>
      <c r="L17" s="13"/>
    </row>
    <row r="18" spans="1:15" ht="51" x14ac:dyDescent="0.2">
      <c r="B18" s="2"/>
      <c r="G18" s="14" t="s">
        <v>56</v>
      </c>
      <c r="H18" s="5"/>
      <c r="I18" s="5"/>
      <c r="J18" s="16" t="s">
        <v>39</v>
      </c>
      <c r="K18" s="5"/>
      <c r="L18" s="5"/>
      <c r="M18" s="16" t="s">
        <v>41</v>
      </c>
    </row>
    <row r="19" spans="1:15" x14ac:dyDescent="0.2">
      <c r="A19" s="5" t="s">
        <v>5</v>
      </c>
      <c r="B19" s="8"/>
      <c r="C19" s="5"/>
      <c r="D19" s="5" t="s">
        <v>6</v>
      </c>
      <c r="E19" s="5"/>
      <c r="F19" s="5" t="s">
        <v>4</v>
      </c>
      <c r="G19" s="8">
        <v>0.19500000000000001</v>
      </c>
      <c r="H19" s="5"/>
      <c r="I19" s="5"/>
      <c r="J19" s="17"/>
      <c r="K19" s="18" t="s">
        <v>4</v>
      </c>
      <c r="L19" s="19">
        <f>SUM(G19*J19)</f>
        <v>0</v>
      </c>
      <c r="M19" s="19">
        <f>($G$17+$G$11)*G19</f>
        <v>30260.295000000002</v>
      </c>
    </row>
    <row r="20" spans="1:15" x14ac:dyDescent="0.2">
      <c r="A20" s="5" t="s">
        <v>7</v>
      </c>
      <c r="B20" s="8"/>
      <c r="C20" s="5"/>
      <c r="D20" s="5"/>
      <c r="E20" s="5"/>
      <c r="F20" s="5" t="s">
        <v>4</v>
      </c>
      <c r="G20" s="8">
        <v>0.02</v>
      </c>
      <c r="H20" s="5"/>
      <c r="I20" s="5"/>
      <c r="J20" s="17"/>
      <c r="K20" s="18" t="s">
        <v>4</v>
      </c>
      <c r="L20" s="19">
        <f>SUM(G20*J20)</f>
        <v>0</v>
      </c>
      <c r="M20" s="19">
        <f>($G$17+$G$11)*G20</f>
        <v>3103.62</v>
      </c>
    </row>
    <row r="21" spans="1:15" x14ac:dyDescent="0.2">
      <c r="A21" s="5" t="s">
        <v>8</v>
      </c>
      <c r="B21" s="8"/>
      <c r="C21" s="5"/>
      <c r="D21" s="5"/>
      <c r="E21" s="5"/>
      <c r="F21" s="5" t="s">
        <v>4</v>
      </c>
      <c r="G21" s="8">
        <v>1.4500000000000001E-2</v>
      </c>
      <c r="H21" s="5"/>
      <c r="I21" s="5"/>
      <c r="J21" s="17"/>
      <c r="K21" s="18" t="s">
        <v>4</v>
      </c>
      <c r="L21" s="19">
        <f>SUM(G21*J21)</f>
        <v>0</v>
      </c>
      <c r="M21" s="19">
        <f>($G$17+$G$11)*G21</f>
        <v>2250.1244999999999</v>
      </c>
    </row>
    <row r="22" spans="1:15" x14ac:dyDescent="0.2">
      <c r="A22" s="5" t="s">
        <v>22</v>
      </c>
      <c r="B22" s="8" t="s">
        <v>9</v>
      </c>
      <c r="C22" s="5"/>
      <c r="D22" s="5"/>
      <c r="E22" s="5"/>
      <c r="F22" s="5" t="s">
        <v>4</v>
      </c>
      <c r="G22" s="22">
        <f>(2341.29*12)*0.5</f>
        <v>14047.74</v>
      </c>
      <c r="H22" s="5"/>
      <c r="I22" s="5"/>
      <c r="J22" s="17">
        <v>0.08</v>
      </c>
      <c r="K22" s="18" t="s">
        <v>4</v>
      </c>
      <c r="L22" s="19">
        <f t="shared" ref="L22" si="0">SUM(G22*J22)/2</f>
        <v>561.90959999999995</v>
      </c>
      <c r="M22" s="19">
        <f t="shared" ref="M22" si="1">SUM(G22+L22)</f>
        <v>14609.649600000001</v>
      </c>
      <c r="N22" s="13"/>
      <c r="O22" s="13"/>
    </row>
    <row r="23" spans="1:15" x14ac:dyDescent="0.2">
      <c r="A23" s="5" t="s">
        <v>31</v>
      </c>
      <c r="B23" s="8" t="s">
        <v>9</v>
      </c>
      <c r="C23" s="5"/>
      <c r="D23" s="5"/>
      <c r="E23" s="5"/>
      <c r="F23" s="5" t="s">
        <v>4</v>
      </c>
      <c r="G23" s="22">
        <v>2000</v>
      </c>
      <c r="H23" s="5"/>
      <c r="I23" s="5"/>
      <c r="J23" s="17">
        <v>0</v>
      </c>
      <c r="K23" s="18" t="s">
        <v>4</v>
      </c>
      <c r="L23" s="19">
        <f t="shared" ref="L23:L33" si="2">SUM(G23*J23)/2</f>
        <v>0</v>
      </c>
      <c r="M23" s="19">
        <f t="shared" ref="M23:M37" si="3">SUM(G23+L23)</f>
        <v>2000</v>
      </c>
      <c r="N23" s="13"/>
      <c r="O23" s="13"/>
    </row>
    <row r="24" spans="1:15" x14ac:dyDescent="0.2">
      <c r="A24" s="5" t="s">
        <v>23</v>
      </c>
      <c r="B24" s="8"/>
      <c r="C24" s="5"/>
      <c r="D24" s="5"/>
      <c r="E24" s="5"/>
      <c r="F24" s="5" t="s">
        <v>4</v>
      </c>
      <c r="G24" s="22">
        <f>(91.91*12)*0.5</f>
        <v>551.46</v>
      </c>
      <c r="H24" s="5"/>
      <c r="I24" s="5"/>
      <c r="J24" s="17">
        <v>0.08</v>
      </c>
      <c r="K24" s="18" t="s">
        <v>4</v>
      </c>
      <c r="L24" s="19">
        <f t="shared" si="2"/>
        <v>22.058400000000002</v>
      </c>
      <c r="M24" s="19">
        <f t="shared" si="3"/>
        <v>573.51840000000004</v>
      </c>
    </row>
    <row r="25" spans="1:15" x14ac:dyDescent="0.2">
      <c r="A25" s="5" t="s">
        <v>24</v>
      </c>
      <c r="B25" s="8"/>
      <c r="C25" s="5"/>
      <c r="D25" s="5"/>
      <c r="E25" s="5"/>
      <c r="F25" s="5" t="s">
        <v>4</v>
      </c>
      <c r="G25" s="22">
        <f>(22.27*12)*0.5</f>
        <v>133.62</v>
      </c>
      <c r="H25" s="5"/>
      <c r="I25" s="5"/>
      <c r="J25" s="17">
        <v>0.08</v>
      </c>
      <c r="K25" s="18" t="s">
        <v>4</v>
      </c>
      <c r="L25" s="19">
        <f t="shared" si="2"/>
        <v>5.3448000000000002</v>
      </c>
      <c r="M25" s="19">
        <f t="shared" si="3"/>
        <v>138.9648</v>
      </c>
    </row>
    <row r="26" spans="1:15" x14ac:dyDescent="0.2">
      <c r="A26" s="5" t="s">
        <v>25</v>
      </c>
      <c r="B26" s="8"/>
      <c r="C26" s="5"/>
      <c r="D26" s="5"/>
      <c r="E26" s="5"/>
      <c r="F26" s="5" t="s">
        <v>4</v>
      </c>
      <c r="G26" s="22">
        <f>((27.5+5.5)*12)*0.5</f>
        <v>198</v>
      </c>
      <c r="H26" s="5"/>
      <c r="I26" s="5"/>
      <c r="J26" s="17">
        <v>4.4999999999999998E-2</v>
      </c>
      <c r="K26" s="18" t="s">
        <v>4</v>
      </c>
      <c r="L26" s="19">
        <f t="shared" si="2"/>
        <v>4.4550000000000001</v>
      </c>
      <c r="M26" s="28">
        <f t="shared" si="3"/>
        <v>202.45500000000001</v>
      </c>
    </row>
    <row r="27" spans="1:15" x14ac:dyDescent="0.2">
      <c r="A27" s="5" t="s">
        <v>58</v>
      </c>
      <c r="B27" s="8"/>
      <c r="C27" s="5"/>
      <c r="D27" s="5"/>
      <c r="E27" s="5"/>
      <c r="F27" s="5" t="s">
        <v>4</v>
      </c>
      <c r="G27" s="22">
        <f>(24*12)*0.5</f>
        <v>144</v>
      </c>
      <c r="H27" s="5"/>
      <c r="I27" s="5"/>
      <c r="J27" s="17">
        <v>4.2500000000000003E-2</v>
      </c>
      <c r="K27" s="18" t="s">
        <v>4</v>
      </c>
      <c r="L27" s="19">
        <f t="shared" si="2"/>
        <v>3.06</v>
      </c>
      <c r="M27" s="28">
        <f t="shared" si="3"/>
        <v>147.06</v>
      </c>
    </row>
    <row r="28" spans="1:15" x14ac:dyDescent="0.2">
      <c r="A28" s="5" t="s">
        <v>59</v>
      </c>
      <c r="B28" s="8"/>
      <c r="C28" s="5"/>
      <c r="D28" s="5"/>
      <c r="E28" s="5"/>
      <c r="F28" s="5" t="s">
        <v>4</v>
      </c>
      <c r="G28" s="22">
        <f>(0.77*12)*0.5</f>
        <v>4.62</v>
      </c>
      <c r="H28" s="5"/>
      <c r="I28" s="5"/>
      <c r="J28" s="17">
        <v>0</v>
      </c>
      <c r="K28" s="18" t="s">
        <v>4</v>
      </c>
      <c r="L28" s="19">
        <f t="shared" si="2"/>
        <v>0</v>
      </c>
      <c r="M28" s="28">
        <f t="shared" si="3"/>
        <v>4.62</v>
      </c>
    </row>
    <row r="29" spans="1:15" x14ac:dyDescent="0.2">
      <c r="A29" s="5" t="s">
        <v>60</v>
      </c>
      <c r="B29" s="8"/>
      <c r="C29" s="5"/>
      <c r="D29" s="5"/>
      <c r="E29" s="5"/>
      <c r="F29" s="5" t="s">
        <v>4</v>
      </c>
      <c r="G29" s="22">
        <f>(2.5*12)*0.5</f>
        <v>15</v>
      </c>
      <c r="H29" s="5"/>
      <c r="I29" s="5"/>
      <c r="J29" s="17">
        <v>0</v>
      </c>
      <c r="K29" s="18" t="s">
        <v>4</v>
      </c>
      <c r="L29" s="19">
        <f t="shared" si="2"/>
        <v>0</v>
      </c>
      <c r="M29" s="28">
        <f t="shared" si="3"/>
        <v>15</v>
      </c>
    </row>
    <row r="30" spans="1:15" x14ac:dyDescent="0.2">
      <c r="A30" s="5" t="s">
        <v>26</v>
      </c>
      <c r="B30" s="8" t="s">
        <v>9</v>
      </c>
      <c r="C30" s="5"/>
      <c r="D30" s="5"/>
      <c r="E30" s="5"/>
      <c r="F30" s="5" t="s">
        <v>4</v>
      </c>
      <c r="G30" s="22">
        <f>(2341.29*12)*0.75</f>
        <v>21071.61</v>
      </c>
      <c r="H30" s="5"/>
      <c r="I30" s="5"/>
      <c r="J30" s="17">
        <v>0.08</v>
      </c>
      <c r="K30" s="18" t="s">
        <v>4</v>
      </c>
      <c r="L30" s="19">
        <f t="shared" ref="L30" si="4">SUM(G30*J30)/2</f>
        <v>842.86440000000005</v>
      </c>
      <c r="M30" s="19">
        <f>SUM(G30+L30)</f>
        <v>21914.474399999999</v>
      </c>
      <c r="N30" s="13"/>
    </row>
    <row r="31" spans="1:15" x14ac:dyDescent="0.2">
      <c r="A31" s="5" t="s">
        <v>32</v>
      </c>
      <c r="B31" s="8" t="s">
        <v>9</v>
      </c>
      <c r="C31" s="5"/>
      <c r="D31" s="5"/>
      <c r="E31" s="5"/>
      <c r="F31" s="5" t="s">
        <v>4</v>
      </c>
      <c r="G31" s="22">
        <f>4000*0.75</f>
        <v>3000</v>
      </c>
      <c r="H31" s="5"/>
      <c r="I31" s="5"/>
      <c r="J31" s="17">
        <v>0</v>
      </c>
      <c r="K31" s="18" t="s">
        <v>4</v>
      </c>
      <c r="L31" s="19">
        <f t="shared" si="2"/>
        <v>0</v>
      </c>
      <c r="M31" s="19">
        <f>SUM(G31+L31)</f>
        <v>3000</v>
      </c>
      <c r="N31" s="13"/>
    </row>
    <row r="32" spans="1:15" x14ac:dyDescent="0.2">
      <c r="A32" s="5" t="s">
        <v>27</v>
      </c>
      <c r="B32" s="8"/>
      <c r="C32" s="5"/>
      <c r="D32" s="5"/>
      <c r="E32" s="5"/>
      <c r="F32" s="5" t="s">
        <v>4</v>
      </c>
      <c r="G32" s="22">
        <f>(91.91*12)*0.75</f>
        <v>827.19</v>
      </c>
      <c r="H32" s="5"/>
      <c r="I32" s="5"/>
      <c r="J32" s="17">
        <v>0.08</v>
      </c>
      <c r="K32" s="18" t="s">
        <v>4</v>
      </c>
      <c r="L32" s="19">
        <f t="shared" si="2"/>
        <v>33.087600000000002</v>
      </c>
      <c r="M32" s="19">
        <f t="shared" si="3"/>
        <v>860.27760000000001</v>
      </c>
    </row>
    <row r="33" spans="1:13" x14ac:dyDescent="0.2">
      <c r="A33" s="5" t="s">
        <v>28</v>
      </c>
      <c r="B33" s="8"/>
      <c r="C33" s="5"/>
      <c r="D33" s="5"/>
      <c r="E33" s="5"/>
      <c r="F33" s="5" t="s">
        <v>4</v>
      </c>
      <c r="G33" s="22">
        <f>(22.27*12)*0.75</f>
        <v>200.43</v>
      </c>
      <c r="H33" s="5"/>
      <c r="I33" s="5"/>
      <c r="J33" s="17">
        <v>0.08</v>
      </c>
      <c r="K33" s="18" t="s">
        <v>4</v>
      </c>
      <c r="L33" s="19">
        <f t="shared" si="2"/>
        <v>8.0172000000000008</v>
      </c>
      <c r="M33" s="19">
        <f t="shared" si="3"/>
        <v>208.44720000000001</v>
      </c>
    </row>
    <row r="34" spans="1:13" x14ac:dyDescent="0.2">
      <c r="A34" s="5" t="s">
        <v>29</v>
      </c>
      <c r="B34" s="8"/>
      <c r="C34" s="5"/>
      <c r="D34" s="5"/>
      <c r="E34" s="5"/>
      <c r="F34" s="5" t="s">
        <v>4</v>
      </c>
      <c r="G34" s="22">
        <f>((27.5+5.5)*12)*0.75</f>
        <v>297</v>
      </c>
      <c r="H34" s="5"/>
      <c r="I34" s="5"/>
      <c r="J34" s="17">
        <v>4.4999999999999998E-2</v>
      </c>
      <c r="K34" s="18" t="s">
        <v>4</v>
      </c>
      <c r="L34" s="19">
        <f>SUM(G34*J34)/2</f>
        <v>6.6825000000000001</v>
      </c>
      <c r="M34" s="19">
        <f t="shared" si="3"/>
        <v>303.6825</v>
      </c>
    </row>
    <row r="35" spans="1:13" x14ac:dyDescent="0.2">
      <c r="A35" s="5" t="s">
        <v>58</v>
      </c>
      <c r="B35" s="8"/>
      <c r="C35" s="5"/>
      <c r="D35" s="5"/>
      <c r="E35" s="5"/>
      <c r="F35" s="5" t="s">
        <v>4</v>
      </c>
      <c r="G35" s="22">
        <f>(24*12)*0.75</f>
        <v>216</v>
      </c>
      <c r="H35" s="5"/>
      <c r="I35" s="5"/>
      <c r="J35" s="17">
        <v>4.5</v>
      </c>
      <c r="K35" s="18" t="s">
        <v>4</v>
      </c>
      <c r="L35" s="19">
        <f>SUM(G35*J35)/2</f>
        <v>486</v>
      </c>
      <c r="M35" s="19">
        <f t="shared" si="3"/>
        <v>702</v>
      </c>
    </row>
    <row r="36" spans="1:13" x14ac:dyDescent="0.2">
      <c r="A36" s="5" t="s">
        <v>59</v>
      </c>
      <c r="B36" s="8"/>
      <c r="C36" s="5"/>
      <c r="D36" s="5"/>
      <c r="E36" s="5"/>
      <c r="F36" s="5" t="s">
        <v>4</v>
      </c>
      <c r="G36" s="22">
        <f>(0.77*12)*0.75</f>
        <v>6.93</v>
      </c>
      <c r="H36" s="5"/>
      <c r="I36" s="5"/>
      <c r="J36" s="17">
        <v>0</v>
      </c>
      <c r="K36" s="18" t="s">
        <v>4</v>
      </c>
      <c r="L36" s="19">
        <f>SUM(G36*J36)/2</f>
        <v>0</v>
      </c>
      <c r="M36" s="19">
        <f t="shared" si="3"/>
        <v>6.93</v>
      </c>
    </row>
    <row r="37" spans="1:13" x14ac:dyDescent="0.2">
      <c r="A37" s="5" t="s">
        <v>60</v>
      </c>
      <c r="B37" s="5"/>
      <c r="C37" s="5"/>
      <c r="D37" s="9"/>
      <c r="E37" s="5"/>
      <c r="F37" s="5" t="s">
        <v>4</v>
      </c>
      <c r="G37" s="22">
        <f>(2.5*12)*0.75</f>
        <v>22.5</v>
      </c>
      <c r="H37" s="5"/>
      <c r="I37" s="5"/>
      <c r="J37" s="17">
        <v>0</v>
      </c>
      <c r="K37" s="18" t="s">
        <v>4</v>
      </c>
      <c r="L37" s="19">
        <f>SUM(G37*J37)/2</f>
        <v>0</v>
      </c>
      <c r="M37" s="31">
        <f t="shared" si="3"/>
        <v>22.5</v>
      </c>
    </row>
    <row r="38" spans="1:13" x14ac:dyDescent="0.2">
      <c r="L38" s="9" t="s">
        <v>19</v>
      </c>
      <c r="M38" s="20">
        <f>SUM(M19:M37)+G11+G17</f>
        <v>235504.61900000001</v>
      </c>
    </row>
    <row r="39" spans="1:13" x14ac:dyDescent="0.2">
      <c r="A39" s="23" t="s">
        <v>10</v>
      </c>
      <c r="B39" s="23"/>
      <c r="C39" s="23"/>
      <c r="D39" s="23"/>
      <c r="E39" s="23"/>
      <c r="F39" s="23"/>
      <c r="G39" s="24"/>
      <c r="H39" s="1" t="s">
        <v>11</v>
      </c>
      <c r="J39" s="1" t="s">
        <v>20</v>
      </c>
    </row>
    <row r="40" spans="1:13" x14ac:dyDescent="0.2">
      <c r="A40" s="23"/>
      <c r="B40" s="23"/>
      <c r="C40" s="23"/>
      <c r="D40" s="23"/>
      <c r="E40" s="23"/>
      <c r="F40" s="23"/>
      <c r="G40" s="25"/>
    </row>
    <row r="41" spans="1:13" x14ac:dyDescent="0.2">
      <c r="A41" s="23" t="s">
        <v>17</v>
      </c>
      <c r="B41" s="23"/>
      <c r="C41" s="23"/>
      <c r="D41" s="23"/>
      <c r="E41" s="23"/>
      <c r="F41" s="23"/>
      <c r="G41" s="24"/>
      <c r="J41" s="1" t="s">
        <v>20</v>
      </c>
    </row>
    <row r="42" spans="1:13" x14ac:dyDescent="0.2">
      <c r="A42" s="23" t="s">
        <v>21</v>
      </c>
      <c r="B42" s="23"/>
      <c r="C42" s="23"/>
      <c r="D42" s="23"/>
      <c r="E42" s="23"/>
      <c r="F42" s="23"/>
      <c r="G42" s="25"/>
    </row>
    <row r="43" spans="1:13" x14ac:dyDescent="0.2">
      <c r="A43" s="23" t="s">
        <v>16</v>
      </c>
      <c r="B43" s="23"/>
      <c r="C43" s="23"/>
      <c r="D43" s="23"/>
      <c r="E43" s="23"/>
      <c r="F43" s="23"/>
      <c r="G43" s="25"/>
    </row>
    <row r="46" spans="1:13" x14ac:dyDescent="0.2">
      <c r="A46" s="10" t="s">
        <v>12</v>
      </c>
      <c r="B46" s="11"/>
      <c r="C46" s="11"/>
      <c r="D46" s="11"/>
      <c r="E46" s="11"/>
      <c r="F46" s="11"/>
      <c r="G46" s="27">
        <f>M38</f>
        <v>235504.61900000001</v>
      </c>
      <c r="H46" s="10"/>
    </row>
    <row r="48" spans="1:13" x14ac:dyDescent="0.2">
      <c r="D48" s="12"/>
    </row>
    <row r="49" spans="1:7" x14ac:dyDescent="0.2">
      <c r="A49" s="1" t="s">
        <v>57</v>
      </c>
    </row>
    <row r="51" spans="1:7" s="11" customFormat="1" x14ac:dyDescent="0.2">
      <c r="G51" s="3"/>
    </row>
    <row r="53" spans="1:7" x14ac:dyDescent="0.2">
      <c r="A53" s="1" t="s">
        <v>18</v>
      </c>
    </row>
    <row r="54" spans="1:7" x14ac:dyDescent="0.2">
      <c r="A54" s="1" t="s">
        <v>14</v>
      </c>
    </row>
    <row r="55" spans="1:7" x14ac:dyDescent="0.2">
      <c r="A55" s="1" t="s">
        <v>15</v>
      </c>
    </row>
  </sheetData>
  <mergeCells count="1">
    <mergeCell ref="A1:I1"/>
  </mergeCells>
  <pageMargins left="0" right="0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421E-08C8-47CA-9F8A-A06A1823E65A}">
  <dimension ref="A1:O64"/>
  <sheetViews>
    <sheetView workbookViewId="0">
      <selection sqref="A1:I1"/>
    </sheetView>
  </sheetViews>
  <sheetFormatPr defaultColWidth="9" defaultRowHeight="12.75" x14ac:dyDescent="0.2"/>
  <cols>
    <col min="1" max="1" width="48.375" style="1" customWidth="1"/>
    <col min="2" max="2" width="18.125" style="1" customWidth="1"/>
    <col min="3" max="3" width="1.75" style="1" bestFit="1" customWidth="1"/>
    <col min="4" max="4" width="10.75" style="1" customWidth="1"/>
    <col min="5" max="5" width="5.625" style="1" customWidth="1"/>
    <col min="6" max="6" width="2.375" style="1" bestFit="1" customWidth="1"/>
    <col min="7" max="7" width="11" style="2" bestFit="1" customWidth="1"/>
    <col min="8" max="8" width="3.625" style="1" customWidth="1"/>
    <col min="9" max="9" width="9" style="1" hidden="1" customWidth="1"/>
    <col min="10" max="10" width="8.375" style="1" customWidth="1"/>
    <col min="11" max="11" width="2.5" style="1" customWidth="1"/>
    <col min="12" max="12" width="9.375" style="1" bestFit="1" customWidth="1"/>
    <col min="13" max="13" width="11.25" style="1" customWidth="1"/>
    <col min="14" max="16384" width="9" style="1"/>
  </cols>
  <sheetData>
    <row r="1" spans="1:12" x14ac:dyDescent="0.2">
      <c r="A1" s="32" t="s">
        <v>46</v>
      </c>
      <c r="B1" s="32"/>
      <c r="C1" s="32"/>
      <c r="D1" s="32"/>
      <c r="E1" s="32"/>
      <c r="F1" s="32"/>
      <c r="G1" s="32"/>
      <c r="H1" s="32"/>
      <c r="I1" s="32"/>
    </row>
    <row r="2" spans="1:12" x14ac:dyDescent="0.2">
      <c r="A2" s="30" t="s">
        <v>42</v>
      </c>
    </row>
    <row r="3" spans="1:12" x14ac:dyDescent="0.2">
      <c r="A3" s="30" t="s">
        <v>36</v>
      </c>
    </row>
    <row r="4" spans="1:12" x14ac:dyDescent="0.2">
      <c r="A4" s="30" t="s">
        <v>37</v>
      </c>
    </row>
    <row r="5" spans="1:12" x14ac:dyDescent="0.2">
      <c r="A5" s="30"/>
    </row>
    <row r="6" spans="1:12" x14ac:dyDescent="0.2">
      <c r="B6" s="15" t="s">
        <v>0</v>
      </c>
      <c r="C6" s="15"/>
      <c r="D6" s="15" t="s">
        <v>1</v>
      </c>
    </row>
    <row r="7" spans="1:12" x14ac:dyDescent="0.2">
      <c r="A7" s="15" t="s">
        <v>34</v>
      </c>
      <c r="B7" s="4">
        <v>52.62</v>
      </c>
      <c r="C7" s="15" t="s">
        <v>2</v>
      </c>
      <c r="D7" s="15">
        <f>1040*0.5</f>
        <v>520</v>
      </c>
      <c r="E7" s="15" t="s">
        <v>3</v>
      </c>
      <c r="F7" s="15" t="s">
        <v>4</v>
      </c>
      <c r="G7" s="4">
        <f>B7*D7</f>
        <v>27362.399999999998</v>
      </c>
      <c r="J7" s="26"/>
      <c r="L7" s="13"/>
    </row>
    <row r="8" spans="1:12" x14ac:dyDescent="0.2">
      <c r="A8" s="15" t="s">
        <v>35</v>
      </c>
      <c r="B8" s="4">
        <f>ROUND(B7*1.0325,2)</f>
        <v>54.33</v>
      </c>
      <c r="C8" s="15" t="s">
        <v>2</v>
      </c>
      <c r="D8" s="15">
        <f>1040*0.5</f>
        <v>520</v>
      </c>
      <c r="E8" s="15" t="s">
        <v>3</v>
      </c>
      <c r="F8" s="15" t="s">
        <v>4</v>
      </c>
      <c r="G8" s="4">
        <f>B8*D8</f>
        <v>28251.599999999999</v>
      </c>
      <c r="J8" s="26"/>
      <c r="L8" s="26"/>
    </row>
    <row r="9" spans="1:12" x14ac:dyDescent="0.2">
      <c r="A9" s="15" t="s">
        <v>30</v>
      </c>
      <c r="B9" s="4">
        <v>52.62</v>
      </c>
      <c r="C9" s="15" t="s">
        <v>2</v>
      </c>
      <c r="D9" s="15">
        <f>(64*0.5)</f>
        <v>32</v>
      </c>
      <c r="E9" s="15" t="s">
        <v>3</v>
      </c>
      <c r="F9" s="15" t="s">
        <v>4</v>
      </c>
      <c r="G9" s="4">
        <f>B9*D9</f>
        <v>1683.84</v>
      </c>
      <c r="L9" s="13"/>
    </row>
    <row r="10" spans="1:12" x14ac:dyDescent="0.2">
      <c r="A10" s="15" t="s">
        <v>38</v>
      </c>
      <c r="B10" s="4">
        <f>ROUND(B9*1.0325,2)</f>
        <v>54.33</v>
      </c>
      <c r="C10" s="15" t="s">
        <v>2</v>
      </c>
      <c r="D10" s="15">
        <f>64*0.5</f>
        <v>32</v>
      </c>
      <c r="E10" s="15" t="s">
        <v>3</v>
      </c>
      <c r="F10" s="15" t="s">
        <v>4</v>
      </c>
      <c r="G10" s="21">
        <f>B10*D10</f>
        <v>1738.56</v>
      </c>
      <c r="L10" s="13"/>
    </row>
    <row r="11" spans="1:12" ht="15" x14ac:dyDescent="0.2">
      <c r="B11" s="2"/>
      <c r="G11" s="4">
        <f>SUM(G7:G10)</f>
        <v>59036.399999999994</v>
      </c>
      <c r="L11" s="29"/>
    </row>
    <row r="12" spans="1:12" x14ac:dyDescent="0.2">
      <c r="B12" s="15" t="s">
        <v>0</v>
      </c>
      <c r="C12" s="15"/>
      <c r="D12" s="15" t="s">
        <v>1</v>
      </c>
      <c r="L12" s="13"/>
    </row>
    <row r="13" spans="1:12" x14ac:dyDescent="0.2">
      <c r="A13" s="15" t="s">
        <v>34</v>
      </c>
      <c r="B13" s="4">
        <v>52.62</v>
      </c>
      <c r="C13" s="15" t="s">
        <v>2</v>
      </c>
      <c r="D13" s="15">
        <f>1040*0.75</f>
        <v>780</v>
      </c>
      <c r="E13" s="15" t="s">
        <v>3</v>
      </c>
      <c r="F13" s="15" t="s">
        <v>4</v>
      </c>
      <c r="G13" s="4">
        <f>B13*D13</f>
        <v>41043.599999999999</v>
      </c>
      <c r="J13" s="26"/>
      <c r="L13" s="13"/>
    </row>
    <row r="14" spans="1:12" x14ac:dyDescent="0.2">
      <c r="A14" s="15" t="s">
        <v>35</v>
      </c>
      <c r="B14" s="4">
        <f>ROUND(B13*1.0325,2)</f>
        <v>54.33</v>
      </c>
      <c r="C14" s="15" t="s">
        <v>2</v>
      </c>
      <c r="D14" s="15">
        <f>1040*0.75</f>
        <v>780</v>
      </c>
      <c r="E14" s="15" t="s">
        <v>3</v>
      </c>
      <c r="F14" s="15" t="s">
        <v>4</v>
      </c>
      <c r="G14" s="4">
        <f>B14*D14</f>
        <v>42377.4</v>
      </c>
      <c r="J14" s="26"/>
      <c r="L14" s="26"/>
    </row>
    <row r="15" spans="1:12" x14ac:dyDescent="0.2">
      <c r="A15" s="15" t="s">
        <v>30</v>
      </c>
      <c r="B15" s="4">
        <v>52.62</v>
      </c>
      <c r="C15" s="15" t="s">
        <v>2</v>
      </c>
      <c r="D15" s="15">
        <f>(64*0.75)</f>
        <v>48</v>
      </c>
      <c r="E15" s="15" t="s">
        <v>3</v>
      </c>
      <c r="F15" s="15" t="s">
        <v>4</v>
      </c>
      <c r="G15" s="4">
        <f>B15*D15</f>
        <v>2525.7599999999998</v>
      </c>
      <c r="L15" s="13"/>
    </row>
    <row r="16" spans="1:12" x14ac:dyDescent="0.2">
      <c r="A16" s="15" t="s">
        <v>38</v>
      </c>
      <c r="B16" s="4">
        <f>ROUND(B15*1.0325,2)</f>
        <v>54.33</v>
      </c>
      <c r="C16" s="15" t="s">
        <v>2</v>
      </c>
      <c r="D16" s="15">
        <f>64*0.75</f>
        <v>48</v>
      </c>
      <c r="E16" s="15" t="s">
        <v>3</v>
      </c>
      <c r="F16" s="15" t="s">
        <v>4</v>
      </c>
      <c r="G16" s="21">
        <f>B16*D16</f>
        <v>2607.84</v>
      </c>
      <c r="L16" s="13"/>
    </row>
    <row r="17" spans="1:15" x14ac:dyDescent="0.2">
      <c r="B17" s="2"/>
      <c r="G17" s="4">
        <f>SUM(G13:G16)</f>
        <v>88554.599999999991</v>
      </c>
      <c r="L17" s="13"/>
    </row>
    <row r="18" spans="1:15" x14ac:dyDescent="0.2">
      <c r="B18" s="2"/>
      <c r="G18" s="4"/>
      <c r="L18" s="13"/>
    </row>
    <row r="19" spans="1:15" x14ac:dyDescent="0.2">
      <c r="B19" s="15" t="s">
        <v>0</v>
      </c>
      <c r="C19" s="15"/>
      <c r="D19" s="15" t="s">
        <v>1</v>
      </c>
      <c r="L19" s="13"/>
    </row>
    <row r="20" spans="1:15" x14ac:dyDescent="0.2">
      <c r="A20" s="15" t="s">
        <v>34</v>
      </c>
      <c r="B20" s="4">
        <v>52.62</v>
      </c>
      <c r="C20" s="15" t="s">
        <v>2</v>
      </c>
      <c r="D20" s="15">
        <f>1040*0.3</f>
        <v>312</v>
      </c>
      <c r="E20" s="15" t="s">
        <v>3</v>
      </c>
      <c r="F20" s="15" t="s">
        <v>4</v>
      </c>
      <c r="G20" s="4">
        <f>B20*D20</f>
        <v>16417.439999999999</v>
      </c>
      <c r="L20" s="13"/>
    </row>
    <row r="21" spans="1:15" x14ac:dyDescent="0.2">
      <c r="A21" s="15" t="s">
        <v>35</v>
      </c>
      <c r="B21" s="4">
        <f>ROUND(B20*1.0325,2)</f>
        <v>54.33</v>
      </c>
      <c r="C21" s="15" t="s">
        <v>2</v>
      </c>
      <c r="D21" s="15">
        <f>1040*0.5</f>
        <v>520</v>
      </c>
      <c r="E21" s="15" t="s">
        <v>3</v>
      </c>
      <c r="F21" s="15" t="s">
        <v>4</v>
      </c>
      <c r="G21" s="4">
        <f>B21*D21</f>
        <v>28251.599999999999</v>
      </c>
      <c r="L21" s="13"/>
    </row>
    <row r="22" spans="1:15" x14ac:dyDescent="0.2">
      <c r="A22" s="15" t="s">
        <v>30</v>
      </c>
      <c r="B22" s="4">
        <v>52.62</v>
      </c>
      <c r="C22" s="15" t="s">
        <v>2</v>
      </c>
      <c r="D22" s="15">
        <f>(64*0.3)</f>
        <v>19.2</v>
      </c>
      <c r="E22" s="15" t="s">
        <v>3</v>
      </c>
      <c r="F22" s="15" t="s">
        <v>4</v>
      </c>
      <c r="G22" s="4">
        <f>B22*D22</f>
        <v>1010.3039999999999</v>
      </c>
      <c r="L22" s="13"/>
    </row>
    <row r="23" spans="1:15" x14ac:dyDescent="0.2">
      <c r="A23" s="15" t="s">
        <v>38</v>
      </c>
      <c r="B23" s="4">
        <f>ROUND(B22*1.0325,2)</f>
        <v>54.33</v>
      </c>
      <c r="C23" s="15" t="s">
        <v>2</v>
      </c>
      <c r="D23" s="15">
        <f>64*0.5</f>
        <v>32</v>
      </c>
      <c r="E23" s="15" t="s">
        <v>3</v>
      </c>
      <c r="F23" s="15" t="s">
        <v>4</v>
      </c>
      <c r="G23" s="21">
        <f>B23*D23</f>
        <v>1738.56</v>
      </c>
      <c r="L23" s="13"/>
    </row>
    <row r="24" spans="1:15" x14ac:dyDescent="0.2">
      <c r="B24" s="2"/>
      <c r="G24" s="4">
        <f>SUM(G20:G23)</f>
        <v>47417.903999999988</v>
      </c>
      <c r="L24" s="13"/>
    </row>
    <row r="25" spans="1:15" x14ac:dyDescent="0.2">
      <c r="B25" s="2"/>
      <c r="G25" s="3"/>
      <c r="L25" s="13"/>
    </row>
    <row r="26" spans="1:15" ht="51" x14ac:dyDescent="0.2">
      <c r="B26" s="2"/>
      <c r="G26" s="14" t="s">
        <v>40</v>
      </c>
      <c r="H26" s="5"/>
      <c r="I26" s="5"/>
      <c r="J26" s="16" t="s">
        <v>39</v>
      </c>
      <c r="K26" s="5"/>
      <c r="L26" s="5"/>
      <c r="M26" s="16" t="s">
        <v>41</v>
      </c>
    </row>
    <row r="27" spans="1:15" x14ac:dyDescent="0.2">
      <c r="A27" s="5" t="s">
        <v>5</v>
      </c>
      <c r="B27" s="8"/>
      <c r="C27" s="5"/>
      <c r="D27" s="5" t="s">
        <v>6</v>
      </c>
      <c r="E27" s="5"/>
      <c r="F27" s="5" t="s">
        <v>4</v>
      </c>
      <c r="G27" s="8">
        <v>0.19500000000000001</v>
      </c>
      <c r="H27" s="5"/>
      <c r="I27" s="5"/>
      <c r="J27" s="17"/>
      <c r="K27" s="18" t="s">
        <v>4</v>
      </c>
      <c r="L27" s="19">
        <f>SUM(G27*J27)</f>
        <v>0</v>
      </c>
      <c r="M27" s="19">
        <f>($G$17+$G$11+$G$24)*G27</f>
        <v>38026.736279999997</v>
      </c>
    </row>
    <row r="28" spans="1:15" x14ac:dyDescent="0.2">
      <c r="A28" s="5" t="s">
        <v>7</v>
      </c>
      <c r="B28" s="8"/>
      <c r="C28" s="5"/>
      <c r="D28" s="5"/>
      <c r="E28" s="5"/>
      <c r="F28" s="5" t="s">
        <v>4</v>
      </c>
      <c r="G28" s="8">
        <v>0.02</v>
      </c>
      <c r="H28" s="5"/>
      <c r="I28" s="5"/>
      <c r="J28" s="17"/>
      <c r="K28" s="18" t="s">
        <v>4</v>
      </c>
      <c r="L28" s="19">
        <f>SUM(G28*J28)</f>
        <v>0</v>
      </c>
      <c r="M28" s="19">
        <f>($G$17+$G$11+$G$24)*G28</f>
        <v>3900.1780799999997</v>
      </c>
    </row>
    <row r="29" spans="1:15" x14ac:dyDescent="0.2">
      <c r="A29" s="5" t="s">
        <v>8</v>
      </c>
      <c r="B29" s="8"/>
      <c r="C29" s="5"/>
      <c r="D29" s="5"/>
      <c r="E29" s="5"/>
      <c r="F29" s="5" t="s">
        <v>4</v>
      </c>
      <c r="G29" s="8">
        <v>1.4500000000000001E-2</v>
      </c>
      <c r="H29" s="5"/>
      <c r="I29" s="5"/>
      <c r="J29" s="17"/>
      <c r="K29" s="18" t="s">
        <v>4</v>
      </c>
      <c r="L29" s="19">
        <f>SUM(G29*J29)</f>
        <v>0</v>
      </c>
      <c r="M29" s="19">
        <f>($G$17+$G$11+$G$24)*G29</f>
        <v>2827.6291079999996</v>
      </c>
    </row>
    <row r="30" spans="1:15" x14ac:dyDescent="0.2">
      <c r="A30" s="5" t="s">
        <v>22</v>
      </c>
      <c r="B30" s="8" t="s">
        <v>9</v>
      </c>
      <c r="C30" s="5"/>
      <c r="D30" s="5"/>
      <c r="E30" s="5"/>
      <c r="F30" s="5" t="s">
        <v>4</v>
      </c>
      <c r="G30" s="22">
        <f>(2318.11*12)*0.5</f>
        <v>13908.66</v>
      </c>
      <c r="H30" s="5"/>
      <c r="I30" s="5"/>
      <c r="J30" s="17">
        <v>0.08</v>
      </c>
      <c r="K30" s="18" t="s">
        <v>4</v>
      </c>
      <c r="L30" s="19">
        <f t="shared" ref="L30:L44" si="0">SUM(G30*J30)/2</f>
        <v>556.34640000000002</v>
      </c>
      <c r="M30" s="19">
        <f t="shared" ref="M30:M44" si="1">SUM(G30+L30)</f>
        <v>14465.0064</v>
      </c>
      <c r="N30" s="13"/>
      <c r="O30" s="13"/>
    </row>
    <row r="31" spans="1:15" x14ac:dyDescent="0.2">
      <c r="A31" s="5" t="s">
        <v>31</v>
      </c>
      <c r="B31" s="8" t="s">
        <v>9</v>
      </c>
      <c r="C31" s="5"/>
      <c r="D31" s="5"/>
      <c r="E31" s="5"/>
      <c r="F31" s="5" t="s">
        <v>4</v>
      </c>
      <c r="G31" s="22">
        <v>2000</v>
      </c>
      <c r="H31" s="5"/>
      <c r="I31" s="5"/>
      <c r="J31" s="17">
        <v>0</v>
      </c>
      <c r="K31" s="18" t="s">
        <v>4</v>
      </c>
      <c r="L31" s="19">
        <f t="shared" si="0"/>
        <v>0</v>
      </c>
      <c r="M31" s="19">
        <f t="shared" si="1"/>
        <v>2000</v>
      </c>
      <c r="N31" s="13"/>
      <c r="O31" s="13"/>
    </row>
    <row r="32" spans="1:15" x14ac:dyDescent="0.2">
      <c r="A32" s="5" t="s">
        <v>23</v>
      </c>
      <c r="B32" s="8"/>
      <c r="C32" s="5"/>
      <c r="D32" s="5"/>
      <c r="E32" s="5"/>
      <c r="F32" s="5" t="s">
        <v>4</v>
      </c>
      <c r="G32" s="22">
        <f>(97.41*12)*0.5</f>
        <v>584.46</v>
      </c>
      <c r="H32" s="5"/>
      <c r="I32" s="5"/>
      <c r="J32" s="17">
        <v>0.08</v>
      </c>
      <c r="K32" s="18" t="s">
        <v>4</v>
      </c>
      <c r="L32" s="19">
        <f t="shared" si="0"/>
        <v>23.378400000000003</v>
      </c>
      <c r="M32" s="19">
        <f t="shared" si="1"/>
        <v>607.83840000000009</v>
      </c>
    </row>
    <row r="33" spans="1:15" x14ac:dyDescent="0.2">
      <c r="A33" s="5" t="s">
        <v>24</v>
      </c>
      <c r="B33" s="8"/>
      <c r="C33" s="5"/>
      <c r="D33" s="5"/>
      <c r="E33" s="5"/>
      <c r="F33" s="5" t="s">
        <v>4</v>
      </c>
      <c r="G33" s="22">
        <f>(27.8*12)*0.5</f>
        <v>166.8</v>
      </c>
      <c r="H33" s="5"/>
      <c r="I33" s="5"/>
      <c r="J33" s="17">
        <v>0.08</v>
      </c>
      <c r="K33" s="18" t="s">
        <v>4</v>
      </c>
      <c r="L33" s="19">
        <f t="shared" si="0"/>
        <v>6.6720000000000006</v>
      </c>
      <c r="M33" s="19">
        <f t="shared" si="1"/>
        <v>173.47200000000001</v>
      </c>
    </row>
    <row r="34" spans="1:15" x14ac:dyDescent="0.2">
      <c r="A34" s="5" t="s">
        <v>25</v>
      </c>
      <c r="B34" s="8"/>
      <c r="C34" s="5"/>
      <c r="D34" s="5"/>
      <c r="E34" s="5"/>
      <c r="F34" s="5" t="s">
        <v>4</v>
      </c>
      <c r="G34" s="22">
        <f>(333+67)*0.5</f>
        <v>200</v>
      </c>
      <c r="H34" s="5"/>
      <c r="I34" s="5"/>
      <c r="J34" s="17">
        <v>3.2500000000000001E-2</v>
      </c>
      <c r="K34" s="18" t="s">
        <v>4</v>
      </c>
      <c r="L34" s="19">
        <f t="shared" si="0"/>
        <v>3.25</v>
      </c>
      <c r="M34" s="28">
        <f t="shared" si="1"/>
        <v>203.25</v>
      </c>
    </row>
    <row r="35" spans="1:15" x14ac:dyDescent="0.2">
      <c r="A35" s="5" t="s">
        <v>26</v>
      </c>
      <c r="B35" s="8" t="s">
        <v>9</v>
      </c>
      <c r="C35" s="5"/>
      <c r="D35" s="5"/>
      <c r="E35" s="5"/>
      <c r="F35" s="5" t="s">
        <v>4</v>
      </c>
      <c r="G35" s="22">
        <f>(2318.11*12)*0.75</f>
        <v>20862.989999999998</v>
      </c>
      <c r="H35" s="5"/>
      <c r="I35" s="5"/>
      <c r="J35" s="17">
        <v>0.08</v>
      </c>
      <c r="K35" s="18" t="s">
        <v>4</v>
      </c>
      <c r="L35" s="19">
        <f t="shared" si="0"/>
        <v>834.51959999999997</v>
      </c>
      <c r="M35" s="19">
        <f t="shared" si="1"/>
        <v>21697.509599999998</v>
      </c>
      <c r="N35" s="13"/>
    </row>
    <row r="36" spans="1:15" x14ac:dyDescent="0.2">
      <c r="A36" s="5" t="s">
        <v>32</v>
      </c>
      <c r="B36" s="8" t="s">
        <v>9</v>
      </c>
      <c r="C36" s="5"/>
      <c r="D36" s="5"/>
      <c r="E36" s="5"/>
      <c r="F36" s="5" t="s">
        <v>4</v>
      </c>
      <c r="G36" s="22">
        <f>4000*0.75</f>
        <v>3000</v>
      </c>
      <c r="H36" s="5"/>
      <c r="I36" s="5"/>
      <c r="J36" s="17">
        <v>0</v>
      </c>
      <c r="K36" s="18" t="s">
        <v>4</v>
      </c>
      <c r="L36" s="19">
        <f t="shared" si="0"/>
        <v>0</v>
      </c>
      <c r="M36" s="19">
        <f t="shared" si="1"/>
        <v>3000</v>
      </c>
      <c r="N36" s="13"/>
    </row>
    <row r="37" spans="1:15" x14ac:dyDescent="0.2">
      <c r="A37" s="5" t="s">
        <v>27</v>
      </c>
      <c r="B37" s="8"/>
      <c r="C37" s="5"/>
      <c r="D37" s="5"/>
      <c r="E37" s="5"/>
      <c r="F37" s="5" t="s">
        <v>4</v>
      </c>
      <c r="G37" s="22">
        <f>(97.41*12)*0.75</f>
        <v>876.69</v>
      </c>
      <c r="H37" s="5"/>
      <c r="I37" s="5"/>
      <c r="J37" s="17">
        <v>0.08</v>
      </c>
      <c r="K37" s="18" t="s">
        <v>4</v>
      </c>
      <c r="L37" s="19">
        <f t="shared" si="0"/>
        <v>35.067600000000006</v>
      </c>
      <c r="M37" s="19">
        <f t="shared" si="1"/>
        <v>911.75760000000002</v>
      </c>
    </row>
    <row r="38" spans="1:15" x14ac:dyDescent="0.2">
      <c r="A38" s="5" t="s">
        <v>28</v>
      </c>
      <c r="B38" s="8"/>
      <c r="C38" s="5"/>
      <c r="D38" s="5"/>
      <c r="E38" s="5"/>
      <c r="F38" s="5" t="s">
        <v>4</v>
      </c>
      <c r="G38" s="22">
        <f>(27.8*12)*0.75</f>
        <v>250.20000000000002</v>
      </c>
      <c r="H38" s="5"/>
      <c r="I38" s="5"/>
      <c r="J38" s="17">
        <v>0.08</v>
      </c>
      <c r="K38" s="18" t="s">
        <v>4</v>
      </c>
      <c r="L38" s="19">
        <f t="shared" si="0"/>
        <v>10.008000000000001</v>
      </c>
      <c r="M38" s="19">
        <f t="shared" si="1"/>
        <v>260.20800000000003</v>
      </c>
    </row>
    <row r="39" spans="1:15" x14ac:dyDescent="0.2">
      <c r="A39" s="5" t="s">
        <v>29</v>
      </c>
      <c r="B39" s="8"/>
      <c r="C39" s="5"/>
      <c r="D39" s="5"/>
      <c r="E39" s="5"/>
      <c r="F39" s="5" t="s">
        <v>4</v>
      </c>
      <c r="G39" s="22">
        <f>(333+67)*0.75</f>
        <v>300</v>
      </c>
      <c r="H39" s="5"/>
      <c r="I39" s="5"/>
      <c r="J39" s="17">
        <v>3.2500000000000001E-2</v>
      </c>
      <c r="K39" s="18" t="s">
        <v>4</v>
      </c>
      <c r="L39" s="19">
        <f t="shared" si="0"/>
        <v>4.875</v>
      </c>
      <c r="M39" s="19">
        <f t="shared" si="1"/>
        <v>304.875</v>
      </c>
    </row>
    <row r="40" spans="1:15" x14ac:dyDescent="0.2">
      <c r="A40" s="5" t="s">
        <v>22</v>
      </c>
      <c r="B40" s="8" t="s">
        <v>9</v>
      </c>
      <c r="C40" s="5"/>
      <c r="D40" s="5"/>
      <c r="E40" s="5"/>
      <c r="F40" s="5" t="s">
        <v>4</v>
      </c>
      <c r="G40" s="22">
        <f>((2318.11*6)*0.3)+((2318.11*6)*0.5)</f>
        <v>11126.928</v>
      </c>
      <c r="H40" s="5"/>
      <c r="I40" s="5"/>
      <c r="J40" s="17">
        <v>0.08</v>
      </c>
      <c r="K40" s="18" t="s">
        <v>4</v>
      </c>
      <c r="L40" s="19">
        <f t="shared" si="0"/>
        <v>445.07711999999998</v>
      </c>
      <c r="M40" s="19">
        <f t="shared" si="1"/>
        <v>11572.00512</v>
      </c>
      <c r="N40" s="13"/>
      <c r="O40" s="13"/>
    </row>
    <row r="41" spans="1:15" x14ac:dyDescent="0.2">
      <c r="A41" s="5" t="s">
        <v>31</v>
      </c>
      <c r="B41" s="8" t="s">
        <v>9</v>
      </c>
      <c r="C41" s="5"/>
      <c r="D41" s="5"/>
      <c r="E41" s="5"/>
      <c r="F41" s="5" t="s">
        <v>4</v>
      </c>
      <c r="G41" s="22">
        <f>(2000*0.3)+(2000*0.5)</f>
        <v>1600</v>
      </c>
      <c r="H41" s="5"/>
      <c r="I41" s="5"/>
      <c r="J41" s="17">
        <v>0</v>
      </c>
      <c r="K41" s="18" t="s">
        <v>4</v>
      </c>
      <c r="L41" s="19">
        <f t="shared" si="0"/>
        <v>0</v>
      </c>
      <c r="M41" s="19">
        <f t="shared" si="1"/>
        <v>1600</v>
      </c>
      <c r="N41" s="13"/>
      <c r="O41" s="13"/>
    </row>
    <row r="42" spans="1:15" x14ac:dyDescent="0.2">
      <c r="A42" s="5" t="s">
        <v>23</v>
      </c>
      <c r="B42" s="8"/>
      <c r="C42" s="5"/>
      <c r="D42" s="5"/>
      <c r="E42" s="5"/>
      <c r="F42" s="5" t="s">
        <v>4</v>
      </c>
      <c r="G42" s="22">
        <f>((97.41*6)*0.3)+((97.41*6)*0.5)</f>
        <v>467.56799999999998</v>
      </c>
      <c r="H42" s="5"/>
      <c r="I42" s="5"/>
      <c r="J42" s="17">
        <v>0.08</v>
      </c>
      <c r="K42" s="18" t="s">
        <v>4</v>
      </c>
      <c r="L42" s="19">
        <f t="shared" si="0"/>
        <v>18.702719999999999</v>
      </c>
      <c r="M42" s="19">
        <f t="shared" si="1"/>
        <v>486.27071999999998</v>
      </c>
    </row>
    <row r="43" spans="1:15" x14ac:dyDescent="0.2">
      <c r="A43" s="5" t="s">
        <v>24</v>
      </c>
      <c r="B43" s="8"/>
      <c r="C43" s="5"/>
      <c r="D43" s="5"/>
      <c r="E43" s="5"/>
      <c r="F43" s="5" t="s">
        <v>4</v>
      </c>
      <c r="G43" s="22">
        <f>((27.8*6)*0.3)+((27.8*6)*0.5)</f>
        <v>133.44</v>
      </c>
      <c r="H43" s="5"/>
      <c r="I43" s="5"/>
      <c r="J43" s="17">
        <v>0.08</v>
      </c>
      <c r="K43" s="18" t="s">
        <v>4</v>
      </c>
      <c r="L43" s="19">
        <f t="shared" si="0"/>
        <v>5.3376000000000001</v>
      </c>
      <c r="M43" s="19">
        <f t="shared" si="1"/>
        <v>138.77760000000001</v>
      </c>
    </row>
    <row r="44" spans="1:15" x14ac:dyDescent="0.2">
      <c r="A44" s="5" t="s">
        <v>25</v>
      </c>
      <c r="B44" s="8"/>
      <c r="C44" s="5"/>
      <c r="D44" s="5"/>
      <c r="E44" s="5"/>
      <c r="F44" s="5" t="s">
        <v>4</v>
      </c>
      <c r="G44" s="22">
        <f>((333+67)*0.5)*0.3+((333+67)*0.5)*0.5</f>
        <v>160</v>
      </c>
      <c r="H44" s="5"/>
      <c r="I44" s="5"/>
      <c r="J44" s="17">
        <v>3.2500000000000001E-2</v>
      </c>
      <c r="K44" s="18" t="s">
        <v>4</v>
      </c>
      <c r="L44" s="19">
        <f t="shared" si="0"/>
        <v>2.6</v>
      </c>
      <c r="M44" s="31">
        <f t="shared" si="1"/>
        <v>162.6</v>
      </c>
    </row>
    <row r="45" spans="1:15" x14ac:dyDescent="0.2">
      <c r="A45" s="5"/>
      <c r="B45" s="8"/>
      <c r="C45" s="5"/>
      <c r="D45" s="5"/>
      <c r="E45" s="5"/>
      <c r="F45" s="5"/>
      <c r="G45" s="7"/>
      <c r="H45" s="5"/>
      <c r="I45" s="5"/>
      <c r="J45" s="5"/>
      <c r="K45" s="5"/>
      <c r="L45" s="5"/>
      <c r="M45" s="5"/>
    </row>
    <row r="46" spans="1:15" x14ac:dyDescent="0.2">
      <c r="A46" s="5"/>
      <c r="B46" s="5"/>
      <c r="C46" s="5"/>
      <c r="D46" s="9"/>
      <c r="E46" s="5"/>
      <c r="F46" s="5"/>
      <c r="G46" s="6"/>
      <c r="H46" s="5"/>
      <c r="I46" s="5"/>
      <c r="J46" s="5"/>
      <c r="K46" s="5"/>
      <c r="L46" s="9" t="s">
        <v>19</v>
      </c>
      <c r="M46" s="20">
        <f>SUM(M27:M44)+G11+G17+G24</f>
        <v>297347.01790799998</v>
      </c>
    </row>
    <row r="48" spans="1:15" x14ac:dyDescent="0.2">
      <c r="A48" s="23" t="s">
        <v>10</v>
      </c>
      <c r="B48" s="23"/>
      <c r="C48" s="23"/>
      <c r="D48" s="23"/>
      <c r="E48" s="23"/>
      <c r="F48" s="23"/>
      <c r="G48" s="24"/>
      <c r="H48" s="1" t="s">
        <v>11</v>
      </c>
      <c r="J48" s="1" t="s">
        <v>20</v>
      </c>
    </row>
    <row r="49" spans="1:10" x14ac:dyDescent="0.2">
      <c r="A49" s="23"/>
      <c r="B49" s="23"/>
      <c r="C49" s="23"/>
      <c r="D49" s="23"/>
      <c r="E49" s="23"/>
      <c r="F49" s="23"/>
      <c r="G49" s="25"/>
    </row>
    <row r="50" spans="1:10" x14ac:dyDescent="0.2">
      <c r="A50" s="23" t="s">
        <v>17</v>
      </c>
      <c r="B50" s="23"/>
      <c r="C50" s="23"/>
      <c r="D50" s="23"/>
      <c r="E50" s="23"/>
      <c r="F50" s="23"/>
      <c r="G50" s="24"/>
      <c r="J50" s="1" t="s">
        <v>20</v>
      </c>
    </row>
    <row r="51" spans="1:10" x14ac:dyDescent="0.2">
      <c r="A51" s="23" t="s">
        <v>21</v>
      </c>
      <c r="B51" s="23"/>
      <c r="C51" s="23"/>
      <c r="D51" s="23"/>
      <c r="E51" s="23"/>
      <c r="F51" s="23"/>
      <c r="G51" s="25"/>
    </row>
    <row r="52" spans="1:10" x14ac:dyDescent="0.2">
      <c r="A52" s="23" t="s">
        <v>16</v>
      </c>
      <c r="B52" s="23"/>
      <c r="C52" s="23"/>
      <c r="D52" s="23"/>
      <c r="E52" s="23"/>
      <c r="F52" s="23"/>
      <c r="G52" s="25"/>
    </row>
    <row r="55" spans="1:10" x14ac:dyDescent="0.2">
      <c r="A55" s="10" t="s">
        <v>12</v>
      </c>
      <c r="B55" s="11"/>
      <c r="C55" s="11"/>
      <c r="D55" s="11"/>
      <c r="E55" s="11"/>
      <c r="F55" s="11"/>
      <c r="G55" s="27">
        <f>M46</f>
        <v>297347.01790799998</v>
      </c>
      <c r="H55" s="10"/>
    </row>
    <row r="56" spans="1:10" x14ac:dyDescent="0.2">
      <c r="A56" s="30" t="s">
        <v>43</v>
      </c>
      <c r="G56" s="2">
        <f>G55-'SRO Cost Analysis #1'!G46</f>
        <v>61842.398907999974</v>
      </c>
    </row>
    <row r="57" spans="1:10" x14ac:dyDescent="0.2">
      <c r="D57" s="12"/>
    </row>
    <row r="58" spans="1:10" x14ac:dyDescent="0.2">
      <c r="A58" s="1" t="s">
        <v>13</v>
      </c>
    </row>
    <row r="60" spans="1:10" s="11" customFormat="1" x14ac:dyDescent="0.2">
      <c r="G60" s="3"/>
    </row>
    <row r="62" spans="1:10" x14ac:dyDescent="0.2">
      <c r="A62" s="1" t="s">
        <v>18</v>
      </c>
    </row>
    <row r="63" spans="1:10" x14ac:dyDescent="0.2">
      <c r="A63" s="1" t="s">
        <v>14</v>
      </c>
    </row>
    <row r="64" spans="1:10" x14ac:dyDescent="0.2">
      <c r="A64" s="1" t="s">
        <v>15</v>
      </c>
    </row>
  </sheetData>
  <mergeCells count="1">
    <mergeCell ref="A1:I1"/>
  </mergeCells>
  <pageMargins left="0" right="0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86CF-5305-4018-AEC5-126A10648D7C}">
  <dimension ref="A1:O64"/>
  <sheetViews>
    <sheetView workbookViewId="0">
      <selection sqref="A1:I1"/>
    </sheetView>
  </sheetViews>
  <sheetFormatPr defaultColWidth="9" defaultRowHeight="12.75" x14ac:dyDescent="0.2"/>
  <cols>
    <col min="1" max="1" width="48.375" style="1" customWidth="1"/>
    <col min="2" max="2" width="18.125" style="1" customWidth="1"/>
    <col min="3" max="3" width="1.75" style="1" bestFit="1" customWidth="1"/>
    <col min="4" max="4" width="10.75" style="1" customWidth="1"/>
    <col min="5" max="5" width="5.625" style="1" customWidth="1"/>
    <col min="6" max="6" width="2.375" style="1" bestFit="1" customWidth="1"/>
    <col min="7" max="7" width="11" style="2" bestFit="1" customWidth="1"/>
    <col min="8" max="8" width="3.625" style="1" customWidth="1"/>
    <col min="9" max="9" width="9" style="1" hidden="1" customWidth="1"/>
    <col min="10" max="10" width="8.375" style="1" customWidth="1"/>
    <col min="11" max="11" width="2.5" style="1" customWidth="1"/>
    <col min="12" max="12" width="9.375" style="1" bestFit="1" customWidth="1"/>
    <col min="13" max="13" width="11.25" style="1" customWidth="1"/>
    <col min="14" max="16384" width="9" style="1"/>
  </cols>
  <sheetData>
    <row r="1" spans="1:12" x14ac:dyDescent="0.2">
      <c r="A1" s="32" t="s">
        <v>46</v>
      </c>
      <c r="B1" s="32"/>
      <c r="C1" s="32"/>
      <c r="D1" s="32"/>
      <c r="E1" s="32"/>
      <c r="F1" s="32"/>
      <c r="G1" s="32"/>
      <c r="H1" s="32"/>
      <c r="I1" s="32"/>
    </row>
    <row r="2" spans="1:12" x14ac:dyDescent="0.2">
      <c r="A2" s="30" t="s">
        <v>44</v>
      </c>
    </row>
    <row r="3" spans="1:12" x14ac:dyDescent="0.2">
      <c r="A3" s="30" t="s">
        <v>36</v>
      </c>
    </row>
    <row r="4" spans="1:12" x14ac:dyDescent="0.2">
      <c r="A4" s="30" t="s">
        <v>37</v>
      </c>
    </row>
    <row r="5" spans="1:12" x14ac:dyDescent="0.2">
      <c r="A5" s="30"/>
    </row>
    <row r="6" spans="1:12" x14ac:dyDescent="0.2">
      <c r="B6" s="15" t="s">
        <v>0</v>
      </c>
      <c r="C6" s="15"/>
      <c r="D6" s="15" t="s">
        <v>1</v>
      </c>
    </row>
    <row r="7" spans="1:12" x14ac:dyDescent="0.2">
      <c r="A7" s="15" t="s">
        <v>34</v>
      </c>
      <c r="B7" s="4">
        <v>52.62</v>
      </c>
      <c r="C7" s="15" t="s">
        <v>2</v>
      </c>
      <c r="D7" s="15">
        <f>1040*0.5</f>
        <v>520</v>
      </c>
      <c r="E7" s="15" t="s">
        <v>3</v>
      </c>
      <c r="F7" s="15" t="s">
        <v>4</v>
      </c>
      <c r="G7" s="4">
        <f>B7*D7</f>
        <v>27362.399999999998</v>
      </c>
      <c r="J7" s="26"/>
      <c r="L7" s="13"/>
    </row>
    <row r="8" spans="1:12" x14ac:dyDescent="0.2">
      <c r="A8" s="15" t="s">
        <v>35</v>
      </c>
      <c r="B8" s="4">
        <f>ROUND(B7*1.0325,2)</f>
        <v>54.33</v>
      </c>
      <c r="C8" s="15" t="s">
        <v>2</v>
      </c>
      <c r="D8" s="15">
        <f>1040*0.5</f>
        <v>520</v>
      </c>
      <c r="E8" s="15" t="s">
        <v>3</v>
      </c>
      <c r="F8" s="15" t="s">
        <v>4</v>
      </c>
      <c r="G8" s="4">
        <f>B8*D8</f>
        <v>28251.599999999999</v>
      </c>
      <c r="J8" s="26"/>
      <c r="L8" s="26"/>
    </row>
    <row r="9" spans="1:12" x14ac:dyDescent="0.2">
      <c r="A9" s="15" t="s">
        <v>30</v>
      </c>
      <c r="B9" s="4">
        <v>52.62</v>
      </c>
      <c r="C9" s="15" t="s">
        <v>2</v>
      </c>
      <c r="D9" s="15">
        <f>(64*0.5)</f>
        <v>32</v>
      </c>
      <c r="E9" s="15" t="s">
        <v>3</v>
      </c>
      <c r="F9" s="15" t="s">
        <v>4</v>
      </c>
      <c r="G9" s="4">
        <f>B9*D9</f>
        <v>1683.84</v>
      </c>
      <c r="L9" s="13"/>
    </row>
    <row r="10" spans="1:12" x14ac:dyDescent="0.2">
      <c r="A10" s="15" t="s">
        <v>38</v>
      </c>
      <c r="B10" s="4">
        <f>ROUND(B9*1.0325,2)</f>
        <v>54.33</v>
      </c>
      <c r="C10" s="15" t="s">
        <v>2</v>
      </c>
      <c r="D10" s="15">
        <f>64*0.5</f>
        <v>32</v>
      </c>
      <c r="E10" s="15" t="s">
        <v>3</v>
      </c>
      <c r="F10" s="15" t="s">
        <v>4</v>
      </c>
      <c r="G10" s="21">
        <f>B10*D10</f>
        <v>1738.56</v>
      </c>
      <c r="L10" s="13"/>
    </row>
    <row r="11" spans="1:12" ht="15" x14ac:dyDescent="0.2">
      <c r="B11" s="2"/>
      <c r="G11" s="4">
        <f>SUM(G7:G10)</f>
        <v>59036.399999999994</v>
      </c>
      <c r="L11" s="29"/>
    </row>
    <row r="12" spans="1:12" x14ac:dyDescent="0.2">
      <c r="B12" s="15" t="s">
        <v>0</v>
      </c>
      <c r="C12" s="15"/>
      <c r="D12" s="15" t="s">
        <v>1</v>
      </c>
      <c r="L12" s="13"/>
    </row>
    <row r="13" spans="1:12" x14ac:dyDescent="0.2">
      <c r="A13" s="15" t="s">
        <v>34</v>
      </c>
      <c r="B13" s="4">
        <v>52.62</v>
      </c>
      <c r="C13" s="15" t="s">
        <v>2</v>
      </c>
      <c r="D13" s="15">
        <f>1040*0.75</f>
        <v>780</v>
      </c>
      <c r="E13" s="15" t="s">
        <v>3</v>
      </c>
      <c r="F13" s="15" t="s">
        <v>4</v>
      </c>
      <c r="G13" s="4">
        <f>B13*D13</f>
        <v>41043.599999999999</v>
      </c>
      <c r="J13" s="26"/>
      <c r="L13" s="13"/>
    </row>
    <row r="14" spans="1:12" x14ac:dyDescent="0.2">
      <c r="A14" s="15" t="s">
        <v>35</v>
      </c>
      <c r="B14" s="4">
        <f>ROUND(B13*1.0325,2)</f>
        <v>54.33</v>
      </c>
      <c r="C14" s="15" t="s">
        <v>2</v>
      </c>
      <c r="D14" s="15">
        <f>1040*0.75</f>
        <v>780</v>
      </c>
      <c r="E14" s="15" t="s">
        <v>3</v>
      </c>
      <c r="F14" s="15" t="s">
        <v>4</v>
      </c>
      <c r="G14" s="4">
        <f>B14*D14</f>
        <v>42377.4</v>
      </c>
      <c r="J14" s="26"/>
      <c r="L14" s="26"/>
    </row>
    <row r="15" spans="1:12" x14ac:dyDescent="0.2">
      <c r="A15" s="15" t="s">
        <v>30</v>
      </c>
      <c r="B15" s="4">
        <v>52.62</v>
      </c>
      <c r="C15" s="15" t="s">
        <v>2</v>
      </c>
      <c r="D15" s="15">
        <f>(64*0.75)</f>
        <v>48</v>
      </c>
      <c r="E15" s="15" t="s">
        <v>3</v>
      </c>
      <c r="F15" s="15" t="s">
        <v>4</v>
      </c>
      <c r="G15" s="4">
        <f>B15*D15</f>
        <v>2525.7599999999998</v>
      </c>
      <c r="L15" s="13"/>
    </row>
    <row r="16" spans="1:12" x14ac:dyDescent="0.2">
      <c r="A16" s="15" t="s">
        <v>38</v>
      </c>
      <c r="B16" s="4">
        <f>ROUND(B15*1.0325,2)</f>
        <v>54.33</v>
      </c>
      <c r="C16" s="15" t="s">
        <v>2</v>
      </c>
      <c r="D16" s="15">
        <f>64*0.75</f>
        <v>48</v>
      </c>
      <c r="E16" s="15" t="s">
        <v>3</v>
      </c>
      <c r="F16" s="15" t="s">
        <v>4</v>
      </c>
      <c r="G16" s="21">
        <f>B16*D16</f>
        <v>2607.84</v>
      </c>
      <c r="L16" s="13"/>
    </row>
    <row r="17" spans="1:15" x14ac:dyDescent="0.2">
      <c r="B17" s="2"/>
      <c r="G17" s="4">
        <f>SUM(G13:G16)</f>
        <v>88554.599999999991</v>
      </c>
      <c r="L17" s="13"/>
    </row>
    <row r="18" spans="1:15" x14ac:dyDescent="0.2">
      <c r="B18" s="2"/>
      <c r="G18" s="4"/>
      <c r="L18" s="13"/>
    </row>
    <row r="19" spans="1:15" x14ac:dyDescent="0.2">
      <c r="B19" s="15" t="s">
        <v>0</v>
      </c>
      <c r="C19" s="15"/>
      <c r="D19" s="15" t="s">
        <v>1</v>
      </c>
      <c r="L19" s="13"/>
    </row>
    <row r="20" spans="1:15" x14ac:dyDescent="0.2">
      <c r="A20" s="15" t="s">
        <v>34</v>
      </c>
      <c r="B20" s="4">
        <v>52.62</v>
      </c>
      <c r="C20" s="15" t="s">
        <v>2</v>
      </c>
      <c r="D20" s="15">
        <f>1040*0.5</f>
        <v>520</v>
      </c>
      <c r="E20" s="15" t="s">
        <v>3</v>
      </c>
      <c r="F20" s="15" t="s">
        <v>4</v>
      </c>
      <c r="G20" s="4">
        <f>B20*D20</f>
        <v>27362.399999999998</v>
      </c>
      <c r="L20" s="13"/>
    </row>
    <row r="21" spans="1:15" x14ac:dyDescent="0.2">
      <c r="A21" s="15" t="s">
        <v>35</v>
      </c>
      <c r="B21" s="4">
        <f>ROUND(B20*1.0325,2)</f>
        <v>54.33</v>
      </c>
      <c r="C21" s="15" t="s">
        <v>2</v>
      </c>
      <c r="D21" s="15">
        <f>1040*0.5</f>
        <v>520</v>
      </c>
      <c r="E21" s="15" t="s">
        <v>3</v>
      </c>
      <c r="F21" s="15" t="s">
        <v>4</v>
      </c>
      <c r="G21" s="4">
        <f>B21*D21</f>
        <v>28251.599999999999</v>
      </c>
      <c r="L21" s="13"/>
    </row>
    <row r="22" spans="1:15" x14ac:dyDescent="0.2">
      <c r="A22" s="15" t="s">
        <v>30</v>
      </c>
      <c r="B22" s="4">
        <v>52.62</v>
      </c>
      <c r="C22" s="15" t="s">
        <v>2</v>
      </c>
      <c r="D22" s="15">
        <f>(64*0.5)</f>
        <v>32</v>
      </c>
      <c r="E22" s="15" t="s">
        <v>3</v>
      </c>
      <c r="F22" s="15" t="s">
        <v>4</v>
      </c>
      <c r="G22" s="4">
        <f>B22*D22</f>
        <v>1683.84</v>
      </c>
      <c r="L22" s="13"/>
    </row>
    <row r="23" spans="1:15" x14ac:dyDescent="0.2">
      <c r="A23" s="15" t="s">
        <v>38</v>
      </c>
      <c r="B23" s="4">
        <f>ROUND(B22*1.0325,2)</f>
        <v>54.33</v>
      </c>
      <c r="C23" s="15" t="s">
        <v>2</v>
      </c>
      <c r="D23" s="15">
        <f>64*0.5</f>
        <v>32</v>
      </c>
      <c r="E23" s="15" t="s">
        <v>3</v>
      </c>
      <c r="F23" s="15" t="s">
        <v>4</v>
      </c>
      <c r="G23" s="21">
        <f>B23*D23</f>
        <v>1738.56</v>
      </c>
      <c r="L23" s="13"/>
    </row>
    <row r="24" spans="1:15" x14ac:dyDescent="0.2">
      <c r="B24" s="2"/>
      <c r="G24" s="4">
        <f>SUM(G20:G23)</f>
        <v>59036.399999999994</v>
      </c>
      <c r="L24" s="13"/>
    </row>
    <row r="25" spans="1:15" x14ac:dyDescent="0.2">
      <c r="B25" s="2"/>
      <c r="G25" s="3"/>
      <c r="L25" s="13"/>
    </row>
    <row r="26" spans="1:15" ht="51" x14ac:dyDescent="0.2">
      <c r="B26" s="2"/>
      <c r="G26" s="14" t="s">
        <v>40</v>
      </c>
      <c r="H26" s="5"/>
      <c r="I26" s="5"/>
      <c r="J26" s="16" t="s">
        <v>39</v>
      </c>
      <c r="K26" s="5"/>
      <c r="L26" s="5"/>
      <c r="M26" s="16" t="s">
        <v>41</v>
      </c>
    </row>
    <row r="27" spans="1:15" x14ac:dyDescent="0.2">
      <c r="A27" s="5" t="s">
        <v>5</v>
      </c>
      <c r="B27" s="8"/>
      <c r="C27" s="5"/>
      <c r="D27" s="5" t="s">
        <v>6</v>
      </c>
      <c r="E27" s="5"/>
      <c r="F27" s="5" t="s">
        <v>4</v>
      </c>
      <c r="G27" s="8">
        <v>0.19500000000000001</v>
      </c>
      <c r="H27" s="5"/>
      <c r="I27" s="5"/>
      <c r="J27" s="17"/>
      <c r="K27" s="18" t="s">
        <v>4</v>
      </c>
      <c r="L27" s="19">
        <f>SUM(G27*J27)</f>
        <v>0</v>
      </c>
      <c r="M27" s="19">
        <f>($G$17+$G$11+$G$24)*G27</f>
        <v>40292.343000000001</v>
      </c>
    </row>
    <row r="28" spans="1:15" x14ac:dyDescent="0.2">
      <c r="A28" s="5" t="s">
        <v>7</v>
      </c>
      <c r="B28" s="8"/>
      <c r="C28" s="5"/>
      <c r="D28" s="5"/>
      <c r="E28" s="5"/>
      <c r="F28" s="5" t="s">
        <v>4</v>
      </c>
      <c r="G28" s="8">
        <v>0.02</v>
      </c>
      <c r="H28" s="5"/>
      <c r="I28" s="5"/>
      <c r="J28" s="17"/>
      <c r="K28" s="18" t="s">
        <v>4</v>
      </c>
      <c r="L28" s="19">
        <f>SUM(G28*J28)</f>
        <v>0</v>
      </c>
      <c r="M28" s="19">
        <f>($G$17+$G$11+$G$24)*G28</f>
        <v>4132.5479999999998</v>
      </c>
    </row>
    <row r="29" spans="1:15" x14ac:dyDescent="0.2">
      <c r="A29" s="5" t="s">
        <v>8</v>
      </c>
      <c r="B29" s="8"/>
      <c r="C29" s="5"/>
      <c r="D29" s="5"/>
      <c r="E29" s="5"/>
      <c r="F29" s="5" t="s">
        <v>4</v>
      </c>
      <c r="G29" s="8">
        <v>1.4500000000000001E-2</v>
      </c>
      <c r="H29" s="5"/>
      <c r="I29" s="5"/>
      <c r="J29" s="17"/>
      <c r="K29" s="18" t="s">
        <v>4</v>
      </c>
      <c r="L29" s="19">
        <f>SUM(G29*J29)</f>
        <v>0</v>
      </c>
      <c r="M29" s="19">
        <f>($G$17+$G$11+$G$24)*G29</f>
        <v>2996.0972999999999</v>
      </c>
    </row>
    <row r="30" spans="1:15" x14ac:dyDescent="0.2">
      <c r="A30" s="5" t="s">
        <v>22</v>
      </c>
      <c r="B30" s="8" t="s">
        <v>9</v>
      </c>
      <c r="C30" s="5"/>
      <c r="D30" s="5"/>
      <c r="E30" s="5"/>
      <c r="F30" s="5" t="s">
        <v>4</v>
      </c>
      <c r="G30" s="22">
        <f>(2318.11*12)*0.5</f>
        <v>13908.66</v>
      </c>
      <c r="H30" s="5"/>
      <c r="I30" s="5"/>
      <c r="J30" s="17">
        <v>0.08</v>
      </c>
      <c r="K30" s="18" t="s">
        <v>4</v>
      </c>
      <c r="L30" s="19">
        <f t="shared" ref="L30:L44" si="0">SUM(G30*J30)/2</f>
        <v>556.34640000000002</v>
      </c>
      <c r="M30" s="19">
        <f t="shared" ref="M30:M44" si="1">SUM(G30+L30)</f>
        <v>14465.0064</v>
      </c>
      <c r="N30" s="13"/>
      <c r="O30" s="13"/>
    </row>
    <row r="31" spans="1:15" x14ac:dyDescent="0.2">
      <c r="A31" s="5" t="s">
        <v>31</v>
      </c>
      <c r="B31" s="8" t="s">
        <v>9</v>
      </c>
      <c r="C31" s="5"/>
      <c r="D31" s="5"/>
      <c r="E31" s="5"/>
      <c r="F31" s="5" t="s">
        <v>4</v>
      </c>
      <c r="G31" s="22">
        <v>2000</v>
      </c>
      <c r="H31" s="5"/>
      <c r="I31" s="5"/>
      <c r="J31" s="17">
        <v>0</v>
      </c>
      <c r="K31" s="18" t="s">
        <v>4</v>
      </c>
      <c r="L31" s="19">
        <f t="shared" si="0"/>
        <v>0</v>
      </c>
      <c r="M31" s="19">
        <f t="shared" si="1"/>
        <v>2000</v>
      </c>
      <c r="N31" s="13"/>
      <c r="O31" s="13"/>
    </row>
    <row r="32" spans="1:15" x14ac:dyDescent="0.2">
      <c r="A32" s="5" t="s">
        <v>23</v>
      </c>
      <c r="B32" s="8"/>
      <c r="C32" s="5"/>
      <c r="D32" s="5"/>
      <c r="E32" s="5"/>
      <c r="F32" s="5" t="s">
        <v>4</v>
      </c>
      <c r="G32" s="22">
        <f>(97.41*12)*0.5</f>
        <v>584.46</v>
      </c>
      <c r="H32" s="5"/>
      <c r="I32" s="5"/>
      <c r="J32" s="17">
        <v>0.08</v>
      </c>
      <c r="K32" s="18" t="s">
        <v>4</v>
      </c>
      <c r="L32" s="19">
        <f t="shared" si="0"/>
        <v>23.378400000000003</v>
      </c>
      <c r="M32" s="19">
        <f t="shared" si="1"/>
        <v>607.83840000000009</v>
      </c>
    </row>
    <row r="33" spans="1:15" x14ac:dyDescent="0.2">
      <c r="A33" s="5" t="s">
        <v>24</v>
      </c>
      <c r="B33" s="8"/>
      <c r="C33" s="5"/>
      <c r="D33" s="5"/>
      <c r="E33" s="5"/>
      <c r="F33" s="5" t="s">
        <v>4</v>
      </c>
      <c r="G33" s="22">
        <f>(27.8*12)*0.5</f>
        <v>166.8</v>
      </c>
      <c r="H33" s="5"/>
      <c r="I33" s="5"/>
      <c r="J33" s="17">
        <v>0.08</v>
      </c>
      <c r="K33" s="18" t="s">
        <v>4</v>
      </c>
      <c r="L33" s="19">
        <f t="shared" si="0"/>
        <v>6.6720000000000006</v>
      </c>
      <c r="M33" s="19">
        <f t="shared" si="1"/>
        <v>173.47200000000001</v>
      </c>
    </row>
    <row r="34" spans="1:15" x14ac:dyDescent="0.2">
      <c r="A34" s="5" t="s">
        <v>25</v>
      </c>
      <c r="B34" s="8"/>
      <c r="C34" s="5"/>
      <c r="D34" s="5"/>
      <c r="E34" s="5"/>
      <c r="F34" s="5" t="s">
        <v>4</v>
      </c>
      <c r="G34" s="22">
        <f>(333+67)*0.5</f>
        <v>200</v>
      </c>
      <c r="H34" s="5"/>
      <c r="I34" s="5"/>
      <c r="J34" s="17">
        <v>3.2500000000000001E-2</v>
      </c>
      <c r="K34" s="18" t="s">
        <v>4</v>
      </c>
      <c r="L34" s="19">
        <f t="shared" si="0"/>
        <v>3.25</v>
      </c>
      <c r="M34" s="28">
        <f t="shared" si="1"/>
        <v>203.25</v>
      </c>
    </row>
    <row r="35" spans="1:15" x14ac:dyDescent="0.2">
      <c r="A35" s="5" t="s">
        <v>26</v>
      </c>
      <c r="B35" s="8" t="s">
        <v>9</v>
      </c>
      <c r="C35" s="5"/>
      <c r="D35" s="5"/>
      <c r="E35" s="5"/>
      <c r="F35" s="5" t="s">
        <v>4</v>
      </c>
      <c r="G35" s="22">
        <f>(2318.11*12)*0.75</f>
        <v>20862.989999999998</v>
      </c>
      <c r="H35" s="5"/>
      <c r="I35" s="5"/>
      <c r="J35" s="17">
        <v>0.08</v>
      </c>
      <c r="K35" s="18" t="s">
        <v>4</v>
      </c>
      <c r="L35" s="19">
        <f t="shared" si="0"/>
        <v>834.51959999999997</v>
      </c>
      <c r="M35" s="19">
        <f t="shared" si="1"/>
        <v>21697.509599999998</v>
      </c>
      <c r="N35" s="13"/>
    </row>
    <row r="36" spans="1:15" x14ac:dyDescent="0.2">
      <c r="A36" s="5" t="s">
        <v>32</v>
      </c>
      <c r="B36" s="8" t="s">
        <v>9</v>
      </c>
      <c r="C36" s="5"/>
      <c r="D36" s="5"/>
      <c r="E36" s="5"/>
      <c r="F36" s="5" t="s">
        <v>4</v>
      </c>
      <c r="G36" s="22">
        <f>4000*0.75</f>
        <v>3000</v>
      </c>
      <c r="H36" s="5"/>
      <c r="I36" s="5"/>
      <c r="J36" s="17">
        <v>0</v>
      </c>
      <c r="K36" s="18" t="s">
        <v>4</v>
      </c>
      <c r="L36" s="19">
        <f t="shared" si="0"/>
        <v>0</v>
      </c>
      <c r="M36" s="19">
        <f t="shared" si="1"/>
        <v>3000</v>
      </c>
      <c r="N36" s="13"/>
    </row>
    <row r="37" spans="1:15" x14ac:dyDescent="0.2">
      <c r="A37" s="5" t="s">
        <v>27</v>
      </c>
      <c r="B37" s="8"/>
      <c r="C37" s="5"/>
      <c r="D37" s="5"/>
      <c r="E37" s="5"/>
      <c r="F37" s="5" t="s">
        <v>4</v>
      </c>
      <c r="G37" s="22">
        <f>(97.41*12)*0.75</f>
        <v>876.69</v>
      </c>
      <c r="H37" s="5"/>
      <c r="I37" s="5"/>
      <c r="J37" s="17">
        <v>0.08</v>
      </c>
      <c r="K37" s="18" t="s">
        <v>4</v>
      </c>
      <c r="L37" s="19">
        <f t="shared" si="0"/>
        <v>35.067600000000006</v>
      </c>
      <c r="M37" s="19">
        <f t="shared" si="1"/>
        <v>911.75760000000002</v>
      </c>
    </row>
    <row r="38" spans="1:15" x14ac:dyDescent="0.2">
      <c r="A38" s="5" t="s">
        <v>28</v>
      </c>
      <c r="B38" s="8"/>
      <c r="C38" s="5"/>
      <c r="D38" s="5"/>
      <c r="E38" s="5"/>
      <c r="F38" s="5" t="s">
        <v>4</v>
      </c>
      <c r="G38" s="22">
        <f>(27.8*12)*0.75</f>
        <v>250.20000000000002</v>
      </c>
      <c r="H38" s="5"/>
      <c r="I38" s="5"/>
      <c r="J38" s="17">
        <v>0.08</v>
      </c>
      <c r="K38" s="18" t="s">
        <v>4</v>
      </c>
      <c r="L38" s="19">
        <f t="shared" si="0"/>
        <v>10.008000000000001</v>
      </c>
      <c r="M38" s="19">
        <f t="shared" si="1"/>
        <v>260.20800000000003</v>
      </c>
    </row>
    <row r="39" spans="1:15" x14ac:dyDescent="0.2">
      <c r="A39" s="5" t="s">
        <v>29</v>
      </c>
      <c r="B39" s="8"/>
      <c r="C39" s="5"/>
      <c r="D39" s="5"/>
      <c r="E39" s="5"/>
      <c r="F39" s="5" t="s">
        <v>4</v>
      </c>
      <c r="G39" s="22">
        <f>(333+67)*0.75</f>
        <v>300</v>
      </c>
      <c r="H39" s="5"/>
      <c r="I39" s="5"/>
      <c r="J39" s="17">
        <v>3.2500000000000001E-2</v>
      </c>
      <c r="K39" s="18" t="s">
        <v>4</v>
      </c>
      <c r="L39" s="19">
        <f t="shared" si="0"/>
        <v>4.875</v>
      </c>
      <c r="M39" s="19">
        <f t="shared" si="1"/>
        <v>304.875</v>
      </c>
    </row>
    <row r="40" spans="1:15" x14ac:dyDescent="0.2">
      <c r="A40" s="5" t="s">
        <v>22</v>
      </c>
      <c r="B40" s="8" t="s">
        <v>9</v>
      </c>
      <c r="C40" s="5"/>
      <c r="D40" s="5"/>
      <c r="E40" s="5"/>
      <c r="F40" s="5" t="s">
        <v>4</v>
      </c>
      <c r="G40" s="22">
        <f>(2318.11*12)*0.5</f>
        <v>13908.66</v>
      </c>
      <c r="H40" s="5"/>
      <c r="I40" s="5"/>
      <c r="J40" s="17">
        <v>0.08</v>
      </c>
      <c r="K40" s="18" t="s">
        <v>4</v>
      </c>
      <c r="L40" s="19">
        <f t="shared" si="0"/>
        <v>556.34640000000002</v>
      </c>
      <c r="M40" s="19">
        <f t="shared" si="1"/>
        <v>14465.0064</v>
      </c>
      <c r="N40" s="13"/>
      <c r="O40" s="13"/>
    </row>
    <row r="41" spans="1:15" x14ac:dyDescent="0.2">
      <c r="A41" s="5" t="s">
        <v>31</v>
      </c>
      <c r="B41" s="8" t="s">
        <v>9</v>
      </c>
      <c r="C41" s="5"/>
      <c r="D41" s="5"/>
      <c r="E41" s="5"/>
      <c r="F41" s="5" t="s">
        <v>4</v>
      </c>
      <c r="G41" s="22">
        <v>2000</v>
      </c>
      <c r="H41" s="5"/>
      <c r="I41" s="5"/>
      <c r="J41" s="17">
        <v>0</v>
      </c>
      <c r="K41" s="18" t="s">
        <v>4</v>
      </c>
      <c r="L41" s="19">
        <f t="shared" si="0"/>
        <v>0</v>
      </c>
      <c r="M41" s="19">
        <f t="shared" si="1"/>
        <v>2000</v>
      </c>
      <c r="N41" s="13"/>
      <c r="O41" s="13"/>
    </row>
    <row r="42" spans="1:15" x14ac:dyDescent="0.2">
      <c r="A42" s="5" t="s">
        <v>23</v>
      </c>
      <c r="B42" s="8"/>
      <c r="C42" s="5"/>
      <c r="D42" s="5"/>
      <c r="E42" s="5"/>
      <c r="F42" s="5" t="s">
        <v>4</v>
      </c>
      <c r="G42" s="22">
        <f>(97.41*12)*0.5</f>
        <v>584.46</v>
      </c>
      <c r="H42" s="5"/>
      <c r="I42" s="5"/>
      <c r="J42" s="17">
        <v>0.08</v>
      </c>
      <c r="K42" s="18" t="s">
        <v>4</v>
      </c>
      <c r="L42" s="19">
        <f t="shared" si="0"/>
        <v>23.378400000000003</v>
      </c>
      <c r="M42" s="19">
        <f t="shared" si="1"/>
        <v>607.83840000000009</v>
      </c>
    </row>
    <row r="43" spans="1:15" x14ac:dyDescent="0.2">
      <c r="A43" s="5" t="s">
        <v>24</v>
      </c>
      <c r="B43" s="8"/>
      <c r="C43" s="5"/>
      <c r="D43" s="5"/>
      <c r="E43" s="5"/>
      <c r="F43" s="5" t="s">
        <v>4</v>
      </c>
      <c r="G43" s="22">
        <f>(27.8*12)*0.5</f>
        <v>166.8</v>
      </c>
      <c r="H43" s="5"/>
      <c r="I43" s="5"/>
      <c r="J43" s="17">
        <v>0.08</v>
      </c>
      <c r="K43" s="18" t="s">
        <v>4</v>
      </c>
      <c r="L43" s="19">
        <f t="shared" si="0"/>
        <v>6.6720000000000006</v>
      </c>
      <c r="M43" s="19">
        <f t="shared" si="1"/>
        <v>173.47200000000001</v>
      </c>
    </row>
    <row r="44" spans="1:15" x14ac:dyDescent="0.2">
      <c r="A44" s="5" t="s">
        <v>25</v>
      </c>
      <c r="B44" s="8"/>
      <c r="C44" s="5"/>
      <c r="D44" s="5"/>
      <c r="E44" s="5"/>
      <c r="F44" s="5" t="s">
        <v>4</v>
      </c>
      <c r="G44" s="22">
        <f>(333+67)*0.5</f>
        <v>200</v>
      </c>
      <c r="H44" s="5"/>
      <c r="I44" s="5"/>
      <c r="J44" s="17">
        <v>3.2500000000000001E-2</v>
      </c>
      <c r="K44" s="18" t="s">
        <v>4</v>
      </c>
      <c r="L44" s="19">
        <f t="shared" si="0"/>
        <v>3.25</v>
      </c>
      <c r="M44" s="31">
        <f t="shared" si="1"/>
        <v>203.25</v>
      </c>
    </row>
    <row r="45" spans="1:15" x14ac:dyDescent="0.2">
      <c r="A45" s="5"/>
      <c r="B45" s="8"/>
      <c r="C45" s="5"/>
      <c r="D45" s="5"/>
      <c r="E45" s="5"/>
      <c r="F45" s="5"/>
      <c r="G45" s="7"/>
      <c r="H45" s="5"/>
      <c r="I45" s="5"/>
      <c r="J45" s="5"/>
      <c r="K45" s="5"/>
      <c r="L45" s="5"/>
      <c r="M45" s="5"/>
    </row>
    <row r="46" spans="1:15" x14ac:dyDescent="0.2">
      <c r="A46" s="5"/>
      <c r="B46" s="5"/>
      <c r="C46" s="5"/>
      <c r="D46" s="9"/>
      <c r="E46" s="5"/>
      <c r="F46" s="5"/>
      <c r="G46" s="6"/>
      <c r="H46" s="5"/>
      <c r="I46" s="5"/>
      <c r="J46" s="5"/>
      <c r="K46" s="5"/>
      <c r="L46" s="9" t="s">
        <v>19</v>
      </c>
      <c r="M46" s="20">
        <f>SUM(M27:M44)+G11+G17+G24</f>
        <v>315121.87209999992</v>
      </c>
    </row>
    <row r="48" spans="1:15" x14ac:dyDescent="0.2">
      <c r="A48" s="23" t="s">
        <v>10</v>
      </c>
      <c r="B48" s="23"/>
      <c r="C48" s="23"/>
      <c r="D48" s="23"/>
      <c r="E48" s="23"/>
      <c r="F48" s="23"/>
      <c r="G48" s="24"/>
      <c r="H48" s="1" t="s">
        <v>11</v>
      </c>
      <c r="J48" s="1" t="s">
        <v>20</v>
      </c>
    </row>
    <row r="49" spans="1:10" x14ac:dyDescent="0.2">
      <c r="A49" s="23"/>
      <c r="B49" s="23"/>
      <c r="C49" s="23"/>
      <c r="D49" s="23"/>
      <c r="E49" s="23"/>
      <c r="F49" s="23"/>
      <c r="G49" s="25"/>
    </row>
    <row r="50" spans="1:10" x14ac:dyDescent="0.2">
      <c r="A50" s="23" t="s">
        <v>17</v>
      </c>
      <c r="B50" s="23"/>
      <c r="C50" s="23"/>
      <c r="D50" s="23"/>
      <c r="E50" s="23"/>
      <c r="F50" s="23"/>
      <c r="G50" s="24"/>
      <c r="J50" s="1" t="s">
        <v>20</v>
      </c>
    </row>
    <row r="51" spans="1:10" x14ac:dyDescent="0.2">
      <c r="A51" s="23" t="s">
        <v>21</v>
      </c>
      <c r="B51" s="23"/>
      <c r="C51" s="23"/>
      <c r="D51" s="23"/>
      <c r="E51" s="23"/>
      <c r="F51" s="23"/>
      <c r="G51" s="25"/>
    </row>
    <row r="52" spans="1:10" x14ac:dyDescent="0.2">
      <c r="A52" s="23" t="s">
        <v>16</v>
      </c>
      <c r="B52" s="23"/>
      <c r="C52" s="23"/>
      <c r="D52" s="23"/>
      <c r="E52" s="23"/>
      <c r="F52" s="23"/>
      <c r="G52" s="25"/>
    </row>
    <row r="55" spans="1:10" x14ac:dyDescent="0.2">
      <c r="A55" s="10" t="s">
        <v>12</v>
      </c>
      <c r="B55" s="11"/>
      <c r="C55" s="11"/>
      <c r="D55" s="11"/>
      <c r="E55" s="11"/>
      <c r="F55" s="11"/>
      <c r="G55" s="27">
        <f>M46</f>
        <v>315121.87209999992</v>
      </c>
      <c r="H55" s="10"/>
    </row>
    <row r="56" spans="1:10" x14ac:dyDescent="0.2">
      <c r="A56" s="30" t="s">
        <v>43</v>
      </c>
      <c r="G56" s="2">
        <f>G55-'SRO Cost Analysis #1'!G46</f>
        <v>79617.253099999914</v>
      </c>
    </row>
    <row r="57" spans="1:10" x14ac:dyDescent="0.2">
      <c r="D57" s="12"/>
    </row>
    <row r="58" spans="1:10" x14ac:dyDescent="0.2">
      <c r="A58" s="1" t="s">
        <v>13</v>
      </c>
    </row>
    <row r="60" spans="1:10" s="11" customFormat="1" x14ac:dyDescent="0.2">
      <c r="G60" s="3"/>
    </row>
    <row r="62" spans="1:10" x14ac:dyDescent="0.2">
      <c r="A62" s="1" t="s">
        <v>18</v>
      </c>
    </row>
    <row r="63" spans="1:10" x14ac:dyDescent="0.2">
      <c r="A63" s="1" t="s">
        <v>14</v>
      </c>
    </row>
    <row r="64" spans="1:10" x14ac:dyDescent="0.2">
      <c r="A64" s="1" t="s">
        <v>15</v>
      </c>
    </row>
  </sheetData>
  <mergeCells count="1">
    <mergeCell ref="A1:I1"/>
  </mergeCells>
  <pageMargins left="0" right="0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9B1F4-68D9-4534-8D78-E64D346A65B6}">
  <dimension ref="A1:O64"/>
  <sheetViews>
    <sheetView workbookViewId="0">
      <selection activeCell="M12" sqref="M12"/>
    </sheetView>
  </sheetViews>
  <sheetFormatPr defaultColWidth="9" defaultRowHeight="12.75" x14ac:dyDescent="0.2"/>
  <cols>
    <col min="1" max="1" width="48.375" style="1" customWidth="1"/>
    <col min="2" max="2" width="18.125" style="1" customWidth="1"/>
    <col min="3" max="3" width="1.75" style="1" bestFit="1" customWidth="1"/>
    <col min="4" max="4" width="10.75" style="1" customWidth="1"/>
    <col min="5" max="5" width="5.625" style="1" customWidth="1"/>
    <col min="6" max="6" width="2.375" style="1" bestFit="1" customWidth="1"/>
    <col min="7" max="7" width="11" style="2" bestFit="1" customWidth="1"/>
    <col min="8" max="8" width="3.625" style="1" customWidth="1"/>
    <col min="9" max="9" width="9" style="1" hidden="1" customWidth="1"/>
    <col min="10" max="10" width="8.375" style="1" customWidth="1"/>
    <col min="11" max="11" width="2.5" style="1" customWidth="1"/>
    <col min="12" max="12" width="9.375" style="1" bestFit="1" customWidth="1"/>
    <col min="13" max="13" width="11.25" style="1" customWidth="1"/>
    <col min="14" max="16384" width="9" style="1"/>
  </cols>
  <sheetData>
    <row r="1" spans="1:12" x14ac:dyDescent="0.2">
      <c r="A1" s="32" t="s">
        <v>46</v>
      </c>
      <c r="B1" s="32"/>
      <c r="C1" s="32"/>
      <c r="D1" s="32"/>
      <c r="E1" s="32"/>
      <c r="F1" s="32"/>
      <c r="G1" s="32"/>
      <c r="H1" s="32"/>
      <c r="I1" s="32"/>
    </row>
    <row r="2" spans="1:12" x14ac:dyDescent="0.2">
      <c r="A2" s="30" t="s">
        <v>45</v>
      </c>
    </row>
    <row r="3" spans="1:12" x14ac:dyDescent="0.2">
      <c r="A3" s="30" t="s">
        <v>36</v>
      </c>
    </row>
    <row r="4" spans="1:12" x14ac:dyDescent="0.2">
      <c r="A4" s="30" t="s">
        <v>37</v>
      </c>
    </row>
    <row r="5" spans="1:12" x14ac:dyDescent="0.2">
      <c r="A5" s="30"/>
    </row>
    <row r="6" spans="1:12" x14ac:dyDescent="0.2">
      <c r="B6" s="15" t="s">
        <v>0</v>
      </c>
      <c r="C6" s="15"/>
      <c r="D6" s="15" t="s">
        <v>1</v>
      </c>
    </row>
    <row r="7" spans="1:12" x14ac:dyDescent="0.2">
      <c r="A7" s="15" t="s">
        <v>34</v>
      </c>
      <c r="B7" s="4">
        <v>52.62</v>
      </c>
      <c r="C7" s="15" t="s">
        <v>2</v>
      </c>
      <c r="D7" s="15">
        <f>1040*0.5</f>
        <v>520</v>
      </c>
      <c r="E7" s="15" t="s">
        <v>3</v>
      </c>
      <c r="F7" s="15" t="s">
        <v>4</v>
      </c>
      <c r="G7" s="4">
        <f>B7*D7</f>
        <v>27362.399999999998</v>
      </c>
      <c r="J7" s="26"/>
      <c r="L7" s="13"/>
    </row>
    <row r="8" spans="1:12" x14ac:dyDescent="0.2">
      <c r="A8" s="15" t="s">
        <v>35</v>
      </c>
      <c r="B8" s="4">
        <f>ROUND(B7*1.0325,2)</f>
        <v>54.33</v>
      </c>
      <c r="C8" s="15" t="s">
        <v>2</v>
      </c>
      <c r="D8" s="15">
        <f>1040*0.5</f>
        <v>520</v>
      </c>
      <c r="E8" s="15" t="s">
        <v>3</v>
      </c>
      <c r="F8" s="15" t="s">
        <v>4</v>
      </c>
      <c r="G8" s="4">
        <f>B8*D8</f>
        <v>28251.599999999999</v>
      </c>
      <c r="J8" s="26"/>
      <c r="L8" s="26"/>
    </row>
    <row r="9" spans="1:12" x14ac:dyDescent="0.2">
      <c r="A9" s="15" t="s">
        <v>30</v>
      </c>
      <c r="B9" s="4">
        <v>52.62</v>
      </c>
      <c r="C9" s="15" t="s">
        <v>2</v>
      </c>
      <c r="D9" s="15">
        <f>(64*0.5)</f>
        <v>32</v>
      </c>
      <c r="E9" s="15" t="s">
        <v>3</v>
      </c>
      <c r="F9" s="15" t="s">
        <v>4</v>
      </c>
      <c r="G9" s="4">
        <f>B9*D9</f>
        <v>1683.84</v>
      </c>
      <c r="L9" s="13"/>
    </row>
    <row r="10" spans="1:12" x14ac:dyDescent="0.2">
      <c r="A10" s="15" t="s">
        <v>38</v>
      </c>
      <c r="B10" s="4">
        <f>ROUND(B9*1.0325,2)</f>
        <v>54.33</v>
      </c>
      <c r="C10" s="15" t="s">
        <v>2</v>
      </c>
      <c r="D10" s="15">
        <f>64*0.5</f>
        <v>32</v>
      </c>
      <c r="E10" s="15" t="s">
        <v>3</v>
      </c>
      <c r="F10" s="15" t="s">
        <v>4</v>
      </c>
      <c r="G10" s="21">
        <f>B10*D10</f>
        <v>1738.56</v>
      </c>
      <c r="L10" s="13"/>
    </row>
    <row r="11" spans="1:12" ht="15" x14ac:dyDescent="0.2">
      <c r="B11" s="2"/>
      <c r="G11" s="4">
        <f>SUM(G7:G10)</f>
        <v>59036.399999999994</v>
      </c>
      <c r="L11" s="29"/>
    </row>
    <row r="12" spans="1:12" x14ac:dyDescent="0.2">
      <c r="B12" s="15" t="s">
        <v>0</v>
      </c>
      <c r="C12" s="15"/>
      <c r="D12" s="15" t="s">
        <v>1</v>
      </c>
      <c r="L12" s="13"/>
    </row>
    <row r="13" spans="1:12" x14ac:dyDescent="0.2">
      <c r="A13" s="15" t="s">
        <v>34</v>
      </c>
      <c r="B13" s="4">
        <v>52.62</v>
      </c>
      <c r="C13" s="15" t="s">
        <v>2</v>
      </c>
      <c r="D13" s="15">
        <f>1040*0.5</f>
        <v>520</v>
      </c>
      <c r="E13" s="15" t="s">
        <v>3</v>
      </c>
      <c r="F13" s="15" t="s">
        <v>4</v>
      </c>
      <c r="G13" s="4">
        <f>B13*D13</f>
        <v>27362.399999999998</v>
      </c>
      <c r="J13" s="26"/>
      <c r="L13" s="13"/>
    </row>
    <row r="14" spans="1:12" x14ac:dyDescent="0.2">
      <c r="A14" s="15" t="s">
        <v>35</v>
      </c>
      <c r="B14" s="4">
        <f>ROUND(B13*1.0325,2)</f>
        <v>54.33</v>
      </c>
      <c r="C14" s="15" t="s">
        <v>2</v>
      </c>
      <c r="D14" s="15">
        <f>1040*0.5</f>
        <v>520</v>
      </c>
      <c r="E14" s="15" t="s">
        <v>3</v>
      </c>
      <c r="F14" s="15" t="s">
        <v>4</v>
      </c>
      <c r="G14" s="4">
        <f>B14*D14</f>
        <v>28251.599999999999</v>
      </c>
      <c r="J14" s="26"/>
      <c r="L14" s="26"/>
    </row>
    <row r="15" spans="1:12" x14ac:dyDescent="0.2">
      <c r="A15" s="15" t="s">
        <v>30</v>
      </c>
      <c r="B15" s="4">
        <v>52.62</v>
      </c>
      <c r="C15" s="15" t="s">
        <v>2</v>
      </c>
      <c r="D15" s="15">
        <f>(64*0.5)</f>
        <v>32</v>
      </c>
      <c r="E15" s="15" t="s">
        <v>3</v>
      </c>
      <c r="F15" s="15" t="s">
        <v>4</v>
      </c>
      <c r="G15" s="4">
        <f>B15*D15</f>
        <v>1683.84</v>
      </c>
      <c r="L15" s="13"/>
    </row>
    <row r="16" spans="1:12" x14ac:dyDescent="0.2">
      <c r="A16" s="15" t="s">
        <v>38</v>
      </c>
      <c r="B16" s="4">
        <f>ROUND(B15*1.0325,2)</f>
        <v>54.33</v>
      </c>
      <c r="C16" s="15" t="s">
        <v>2</v>
      </c>
      <c r="D16" s="15">
        <f>64*0.5</f>
        <v>32</v>
      </c>
      <c r="E16" s="15" t="s">
        <v>3</v>
      </c>
      <c r="F16" s="15" t="s">
        <v>4</v>
      </c>
      <c r="G16" s="21">
        <f>B16*D16</f>
        <v>1738.56</v>
      </c>
      <c r="L16" s="13"/>
    </row>
    <row r="17" spans="1:15" x14ac:dyDescent="0.2">
      <c r="B17" s="2"/>
      <c r="G17" s="4">
        <f>SUM(G13:G16)</f>
        <v>59036.399999999994</v>
      </c>
      <c r="L17" s="13"/>
    </row>
    <row r="18" spans="1:15" x14ac:dyDescent="0.2">
      <c r="B18" s="2"/>
      <c r="G18" s="4"/>
      <c r="L18" s="13"/>
    </row>
    <row r="19" spans="1:15" x14ac:dyDescent="0.2">
      <c r="B19" s="15" t="s">
        <v>0</v>
      </c>
      <c r="C19" s="15"/>
      <c r="D19" s="15" t="s">
        <v>1</v>
      </c>
      <c r="L19" s="13"/>
    </row>
    <row r="20" spans="1:15" x14ac:dyDescent="0.2">
      <c r="A20" s="15" t="s">
        <v>34</v>
      </c>
      <c r="B20" s="4">
        <v>52.62</v>
      </c>
      <c r="C20" s="15" t="s">
        <v>2</v>
      </c>
      <c r="D20" s="15">
        <f>1040*0.5</f>
        <v>520</v>
      </c>
      <c r="E20" s="15" t="s">
        <v>3</v>
      </c>
      <c r="F20" s="15" t="s">
        <v>4</v>
      </c>
      <c r="G20" s="4">
        <f>B20*D20</f>
        <v>27362.399999999998</v>
      </c>
      <c r="L20" s="13"/>
    </row>
    <row r="21" spans="1:15" x14ac:dyDescent="0.2">
      <c r="A21" s="15" t="s">
        <v>35</v>
      </c>
      <c r="B21" s="4">
        <f>ROUND(B20*1.0325,2)</f>
        <v>54.33</v>
      </c>
      <c r="C21" s="15" t="s">
        <v>2</v>
      </c>
      <c r="D21" s="15">
        <f>1040*0.5</f>
        <v>520</v>
      </c>
      <c r="E21" s="15" t="s">
        <v>3</v>
      </c>
      <c r="F21" s="15" t="s">
        <v>4</v>
      </c>
      <c r="G21" s="4">
        <f>B21*D21</f>
        <v>28251.599999999999</v>
      </c>
      <c r="L21" s="13"/>
    </row>
    <row r="22" spans="1:15" x14ac:dyDescent="0.2">
      <c r="A22" s="15" t="s">
        <v>30</v>
      </c>
      <c r="B22" s="4">
        <v>52.62</v>
      </c>
      <c r="C22" s="15" t="s">
        <v>2</v>
      </c>
      <c r="D22" s="15">
        <f>(64*0.5)</f>
        <v>32</v>
      </c>
      <c r="E22" s="15" t="s">
        <v>3</v>
      </c>
      <c r="F22" s="15" t="s">
        <v>4</v>
      </c>
      <c r="G22" s="4">
        <f>B22*D22</f>
        <v>1683.84</v>
      </c>
      <c r="L22" s="13"/>
    </row>
    <row r="23" spans="1:15" x14ac:dyDescent="0.2">
      <c r="A23" s="15" t="s">
        <v>38</v>
      </c>
      <c r="B23" s="4">
        <f>ROUND(B22*1.0325,2)</f>
        <v>54.33</v>
      </c>
      <c r="C23" s="15" t="s">
        <v>2</v>
      </c>
      <c r="D23" s="15">
        <f>64*0.5</f>
        <v>32</v>
      </c>
      <c r="E23" s="15" t="s">
        <v>3</v>
      </c>
      <c r="F23" s="15" t="s">
        <v>4</v>
      </c>
      <c r="G23" s="21">
        <f>B23*D23</f>
        <v>1738.56</v>
      </c>
      <c r="L23" s="13"/>
    </row>
    <row r="24" spans="1:15" x14ac:dyDescent="0.2">
      <c r="B24" s="2"/>
      <c r="G24" s="4">
        <f>SUM(G20:G23)</f>
        <v>59036.399999999994</v>
      </c>
      <c r="L24" s="13"/>
    </row>
    <row r="25" spans="1:15" x14ac:dyDescent="0.2">
      <c r="B25" s="2"/>
      <c r="G25" s="3"/>
      <c r="L25" s="13"/>
    </row>
    <row r="26" spans="1:15" ht="51" x14ac:dyDescent="0.2">
      <c r="B26" s="2"/>
      <c r="G26" s="14" t="s">
        <v>40</v>
      </c>
      <c r="H26" s="5"/>
      <c r="I26" s="5"/>
      <c r="J26" s="16" t="s">
        <v>39</v>
      </c>
      <c r="K26" s="5"/>
      <c r="L26" s="5"/>
      <c r="M26" s="16" t="s">
        <v>41</v>
      </c>
    </row>
    <row r="27" spans="1:15" x14ac:dyDescent="0.2">
      <c r="A27" s="5" t="s">
        <v>5</v>
      </c>
      <c r="B27" s="8"/>
      <c r="C27" s="5"/>
      <c r="D27" s="5" t="s">
        <v>6</v>
      </c>
      <c r="E27" s="5"/>
      <c r="F27" s="5" t="s">
        <v>4</v>
      </c>
      <c r="G27" s="8">
        <v>0.19500000000000001</v>
      </c>
      <c r="H27" s="5"/>
      <c r="I27" s="5"/>
      <c r="J27" s="17"/>
      <c r="K27" s="18" t="s">
        <v>4</v>
      </c>
      <c r="L27" s="19">
        <f>SUM(G27*J27)</f>
        <v>0</v>
      </c>
      <c r="M27" s="19">
        <f>($G$17+$G$11+$G$24)*G27</f>
        <v>34536.293999999994</v>
      </c>
    </row>
    <row r="28" spans="1:15" x14ac:dyDescent="0.2">
      <c r="A28" s="5" t="s">
        <v>7</v>
      </c>
      <c r="B28" s="8"/>
      <c r="C28" s="5"/>
      <c r="D28" s="5"/>
      <c r="E28" s="5"/>
      <c r="F28" s="5" t="s">
        <v>4</v>
      </c>
      <c r="G28" s="8">
        <v>0.02</v>
      </c>
      <c r="H28" s="5"/>
      <c r="I28" s="5"/>
      <c r="J28" s="17"/>
      <c r="K28" s="18" t="s">
        <v>4</v>
      </c>
      <c r="L28" s="19">
        <f>SUM(G28*J28)</f>
        <v>0</v>
      </c>
      <c r="M28" s="19">
        <f>($G$17+$G$11+$G$24)*G28</f>
        <v>3542.1839999999997</v>
      </c>
    </row>
    <row r="29" spans="1:15" x14ac:dyDescent="0.2">
      <c r="A29" s="5" t="s">
        <v>8</v>
      </c>
      <c r="B29" s="8"/>
      <c r="C29" s="5"/>
      <c r="D29" s="5"/>
      <c r="E29" s="5"/>
      <c r="F29" s="5" t="s">
        <v>4</v>
      </c>
      <c r="G29" s="8">
        <v>1.4500000000000001E-2</v>
      </c>
      <c r="H29" s="5"/>
      <c r="I29" s="5"/>
      <c r="J29" s="17"/>
      <c r="K29" s="18" t="s">
        <v>4</v>
      </c>
      <c r="L29" s="19">
        <f>SUM(G29*J29)</f>
        <v>0</v>
      </c>
      <c r="M29" s="19">
        <f>($G$17+$G$11+$G$24)*G29</f>
        <v>2568.0834</v>
      </c>
    </row>
    <row r="30" spans="1:15" x14ac:dyDescent="0.2">
      <c r="A30" s="5" t="s">
        <v>22</v>
      </c>
      <c r="B30" s="8" t="s">
        <v>9</v>
      </c>
      <c r="C30" s="5"/>
      <c r="D30" s="5"/>
      <c r="E30" s="5"/>
      <c r="F30" s="5" t="s">
        <v>4</v>
      </c>
      <c r="G30" s="22">
        <f>(2318.11*12)*0.5</f>
        <v>13908.66</v>
      </c>
      <c r="H30" s="5"/>
      <c r="I30" s="5"/>
      <c r="J30" s="17">
        <v>0.08</v>
      </c>
      <c r="K30" s="18" t="s">
        <v>4</v>
      </c>
      <c r="L30" s="19">
        <f t="shared" ref="L30:L44" si="0">SUM(G30*J30)/2</f>
        <v>556.34640000000002</v>
      </c>
      <c r="M30" s="19">
        <f t="shared" ref="M30:M44" si="1">SUM(G30+L30)</f>
        <v>14465.0064</v>
      </c>
      <c r="N30" s="13"/>
      <c r="O30" s="13"/>
    </row>
    <row r="31" spans="1:15" x14ac:dyDescent="0.2">
      <c r="A31" s="5" t="s">
        <v>31</v>
      </c>
      <c r="B31" s="8" t="s">
        <v>9</v>
      </c>
      <c r="C31" s="5"/>
      <c r="D31" s="5"/>
      <c r="E31" s="5"/>
      <c r="F31" s="5" t="s">
        <v>4</v>
      </c>
      <c r="G31" s="22">
        <v>2000</v>
      </c>
      <c r="H31" s="5"/>
      <c r="I31" s="5"/>
      <c r="J31" s="17">
        <v>0</v>
      </c>
      <c r="K31" s="18" t="s">
        <v>4</v>
      </c>
      <c r="L31" s="19">
        <f t="shared" si="0"/>
        <v>0</v>
      </c>
      <c r="M31" s="19">
        <f t="shared" si="1"/>
        <v>2000</v>
      </c>
      <c r="N31" s="13"/>
      <c r="O31" s="13"/>
    </row>
    <row r="32" spans="1:15" x14ac:dyDescent="0.2">
      <c r="A32" s="5" t="s">
        <v>23</v>
      </c>
      <c r="B32" s="8"/>
      <c r="C32" s="5"/>
      <c r="D32" s="5"/>
      <c r="E32" s="5"/>
      <c r="F32" s="5" t="s">
        <v>4</v>
      </c>
      <c r="G32" s="22">
        <f>(97.41*12)*0.5</f>
        <v>584.46</v>
      </c>
      <c r="H32" s="5"/>
      <c r="I32" s="5"/>
      <c r="J32" s="17">
        <v>0.08</v>
      </c>
      <c r="K32" s="18" t="s">
        <v>4</v>
      </c>
      <c r="L32" s="19">
        <f t="shared" si="0"/>
        <v>23.378400000000003</v>
      </c>
      <c r="M32" s="19">
        <f t="shared" si="1"/>
        <v>607.83840000000009</v>
      </c>
    </row>
    <row r="33" spans="1:15" x14ac:dyDescent="0.2">
      <c r="A33" s="5" t="s">
        <v>24</v>
      </c>
      <c r="B33" s="8"/>
      <c r="C33" s="5"/>
      <c r="D33" s="5"/>
      <c r="E33" s="5"/>
      <c r="F33" s="5" t="s">
        <v>4</v>
      </c>
      <c r="G33" s="22">
        <f>(27.8*12)*0.5</f>
        <v>166.8</v>
      </c>
      <c r="H33" s="5"/>
      <c r="I33" s="5"/>
      <c r="J33" s="17">
        <v>0.08</v>
      </c>
      <c r="K33" s="18" t="s">
        <v>4</v>
      </c>
      <c r="L33" s="19">
        <f t="shared" si="0"/>
        <v>6.6720000000000006</v>
      </c>
      <c r="M33" s="19">
        <f t="shared" si="1"/>
        <v>173.47200000000001</v>
      </c>
    </row>
    <row r="34" spans="1:15" x14ac:dyDescent="0.2">
      <c r="A34" s="5" t="s">
        <v>25</v>
      </c>
      <c r="B34" s="8"/>
      <c r="C34" s="5"/>
      <c r="D34" s="5"/>
      <c r="E34" s="5"/>
      <c r="F34" s="5" t="s">
        <v>4</v>
      </c>
      <c r="G34" s="22">
        <f>(333+67)*0.5</f>
        <v>200</v>
      </c>
      <c r="H34" s="5"/>
      <c r="I34" s="5"/>
      <c r="J34" s="17">
        <v>3.2500000000000001E-2</v>
      </c>
      <c r="K34" s="18" t="s">
        <v>4</v>
      </c>
      <c r="L34" s="19">
        <f t="shared" si="0"/>
        <v>3.25</v>
      </c>
      <c r="M34" s="28">
        <f t="shared" si="1"/>
        <v>203.25</v>
      </c>
    </row>
    <row r="35" spans="1:15" x14ac:dyDescent="0.2">
      <c r="A35" s="5" t="s">
        <v>26</v>
      </c>
      <c r="B35" s="8" t="s">
        <v>9</v>
      </c>
      <c r="C35" s="5"/>
      <c r="D35" s="5"/>
      <c r="E35" s="5"/>
      <c r="F35" s="5" t="s">
        <v>4</v>
      </c>
      <c r="G35" s="22">
        <f>(2318.11*12)*0.5</f>
        <v>13908.66</v>
      </c>
      <c r="H35" s="5"/>
      <c r="I35" s="5"/>
      <c r="J35" s="17">
        <v>0.08</v>
      </c>
      <c r="K35" s="18" t="s">
        <v>4</v>
      </c>
      <c r="L35" s="19">
        <f t="shared" si="0"/>
        <v>556.34640000000002</v>
      </c>
      <c r="M35" s="19">
        <f t="shared" si="1"/>
        <v>14465.0064</v>
      </c>
      <c r="N35" s="13"/>
    </row>
    <row r="36" spans="1:15" x14ac:dyDescent="0.2">
      <c r="A36" s="5" t="s">
        <v>32</v>
      </c>
      <c r="B36" s="8" t="s">
        <v>9</v>
      </c>
      <c r="C36" s="5"/>
      <c r="D36" s="5"/>
      <c r="E36" s="5"/>
      <c r="F36" s="5" t="s">
        <v>4</v>
      </c>
      <c r="G36" s="22">
        <v>2000</v>
      </c>
      <c r="H36" s="5"/>
      <c r="I36" s="5"/>
      <c r="J36" s="17">
        <v>0</v>
      </c>
      <c r="K36" s="18" t="s">
        <v>4</v>
      </c>
      <c r="L36" s="19">
        <f t="shared" si="0"/>
        <v>0</v>
      </c>
      <c r="M36" s="19">
        <f t="shared" si="1"/>
        <v>2000</v>
      </c>
      <c r="N36" s="13"/>
    </row>
    <row r="37" spans="1:15" x14ac:dyDescent="0.2">
      <c r="A37" s="5" t="s">
        <v>27</v>
      </c>
      <c r="B37" s="8"/>
      <c r="C37" s="5"/>
      <c r="D37" s="5"/>
      <c r="E37" s="5"/>
      <c r="F37" s="5" t="s">
        <v>4</v>
      </c>
      <c r="G37" s="22">
        <f>(97.41*12)*0.5</f>
        <v>584.46</v>
      </c>
      <c r="H37" s="5"/>
      <c r="I37" s="5"/>
      <c r="J37" s="17">
        <v>0.08</v>
      </c>
      <c r="K37" s="18" t="s">
        <v>4</v>
      </c>
      <c r="L37" s="19">
        <f t="shared" si="0"/>
        <v>23.378400000000003</v>
      </c>
      <c r="M37" s="19">
        <f t="shared" si="1"/>
        <v>607.83840000000009</v>
      </c>
    </row>
    <row r="38" spans="1:15" x14ac:dyDescent="0.2">
      <c r="A38" s="5" t="s">
        <v>28</v>
      </c>
      <c r="B38" s="8"/>
      <c r="C38" s="5"/>
      <c r="D38" s="5"/>
      <c r="E38" s="5"/>
      <c r="F38" s="5" t="s">
        <v>4</v>
      </c>
      <c r="G38" s="22">
        <f>(27.8*12)*0.5</f>
        <v>166.8</v>
      </c>
      <c r="H38" s="5"/>
      <c r="I38" s="5"/>
      <c r="J38" s="17">
        <v>0.08</v>
      </c>
      <c r="K38" s="18" t="s">
        <v>4</v>
      </c>
      <c r="L38" s="19">
        <f t="shared" si="0"/>
        <v>6.6720000000000006</v>
      </c>
      <c r="M38" s="19">
        <f t="shared" si="1"/>
        <v>173.47200000000001</v>
      </c>
    </row>
    <row r="39" spans="1:15" x14ac:dyDescent="0.2">
      <c r="A39" s="5" t="s">
        <v>29</v>
      </c>
      <c r="B39" s="8"/>
      <c r="C39" s="5"/>
      <c r="D39" s="5"/>
      <c r="E39" s="5"/>
      <c r="F39" s="5" t="s">
        <v>4</v>
      </c>
      <c r="G39" s="22">
        <f>(333+67)*0.5</f>
        <v>200</v>
      </c>
      <c r="H39" s="5"/>
      <c r="I39" s="5"/>
      <c r="J39" s="17">
        <v>3.2500000000000001E-2</v>
      </c>
      <c r="K39" s="18" t="s">
        <v>4</v>
      </c>
      <c r="L39" s="19">
        <f t="shared" si="0"/>
        <v>3.25</v>
      </c>
      <c r="M39" s="19">
        <f t="shared" si="1"/>
        <v>203.25</v>
      </c>
    </row>
    <row r="40" spans="1:15" x14ac:dyDescent="0.2">
      <c r="A40" s="5" t="s">
        <v>22</v>
      </c>
      <c r="B40" s="8" t="s">
        <v>9</v>
      </c>
      <c r="C40" s="5"/>
      <c r="D40" s="5"/>
      <c r="E40" s="5"/>
      <c r="F40" s="5" t="s">
        <v>4</v>
      </c>
      <c r="G40" s="22">
        <f>(2318.11*12)*0.5</f>
        <v>13908.66</v>
      </c>
      <c r="H40" s="5"/>
      <c r="I40" s="5"/>
      <c r="J40" s="17">
        <v>0.08</v>
      </c>
      <c r="K40" s="18" t="s">
        <v>4</v>
      </c>
      <c r="L40" s="19">
        <f t="shared" si="0"/>
        <v>556.34640000000002</v>
      </c>
      <c r="M40" s="19">
        <f t="shared" si="1"/>
        <v>14465.0064</v>
      </c>
      <c r="N40" s="13"/>
      <c r="O40" s="13"/>
    </row>
    <row r="41" spans="1:15" x14ac:dyDescent="0.2">
      <c r="A41" s="5" t="s">
        <v>31</v>
      </c>
      <c r="B41" s="8" t="s">
        <v>9</v>
      </c>
      <c r="C41" s="5"/>
      <c r="D41" s="5"/>
      <c r="E41" s="5"/>
      <c r="F41" s="5" t="s">
        <v>4</v>
      </c>
      <c r="G41" s="22">
        <v>2000</v>
      </c>
      <c r="H41" s="5"/>
      <c r="I41" s="5"/>
      <c r="J41" s="17">
        <v>0</v>
      </c>
      <c r="K41" s="18" t="s">
        <v>4</v>
      </c>
      <c r="L41" s="19">
        <f t="shared" si="0"/>
        <v>0</v>
      </c>
      <c r="M41" s="19">
        <f t="shared" si="1"/>
        <v>2000</v>
      </c>
      <c r="N41" s="13"/>
      <c r="O41" s="13"/>
    </row>
    <row r="42" spans="1:15" x14ac:dyDescent="0.2">
      <c r="A42" s="5" t="s">
        <v>23</v>
      </c>
      <c r="B42" s="8"/>
      <c r="C42" s="5"/>
      <c r="D42" s="5"/>
      <c r="E42" s="5"/>
      <c r="F42" s="5" t="s">
        <v>4</v>
      </c>
      <c r="G42" s="22">
        <f>(97.41*12)*0.5</f>
        <v>584.46</v>
      </c>
      <c r="H42" s="5"/>
      <c r="I42" s="5"/>
      <c r="J42" s="17">
        <v>0.08</v>
      </c>
      <c r="K42" s="18" t="s">
        <v>4</v>
      </c>
      <c r="L42" s="19">
        <f t="shared" si="0"/>
        <v>23.378400000000003</v>
      </c>
      <c r="M42" s="19">
        <f t="shared" si="1"/>
        <v>607.83840000000009</v>
      </c>
    </row>
    <row r="43" spans="1:15" x14ac:dyDescent="0.2">
      <c r="A43" s="5" t="s">
        <v>24</v>
      </c>
      <c r="B43" s="8"/>
      <c r="C43" s="5"/>
      <c r="D43" s="5"/>
      <c r="E43" s="5"/>
      <c r="F43" s="5" t="s">
        <v>4</v>
      </c>
      <c r="G43" s="22">
        <f>(27.8*12)*0.5</f>
        <v>166.8</v>
      </c>
      <c r="H43" s="5"/>
      <c r="I43" s="5"/>
      <c r="J43" s="17">
        <v>0.08</v>
      </c>
      <c r="K43" s="18" t="s">
        <v>4</v>
      </c>
      <c r="L43" s="19">
        <f t="shared" si="0"/>
        <v>6.6720000000000006</v>
      </c>
      <c r="M43" s="19">
        <f t="shared" si="1"/>
        <v>173.47200000000001</v>
      </c>
    </row>
    <row r="44" spans="1:15" x14ac:dyDescent="0.2">
      <c r="A44" s="5" t="s">
        <v>25</v>
      </c>
      <c r="B44" s="8"/>
      <c r="C44" s="5"/>
      <c r="D44" s="5"/>
      <c r="E44" s="5"/>
      <c r="F44" s="5" t="s">
        <v>4</v>
      </c>
      <c r="G44" s="22">
        <f>(333+67)*0.5</f>
        <v>200</v>
      </c>
      <c r="H44" s="5"/>
      <c r="I44" s="5"/>
      <c r="J44" s="17">
        <v>3.2500000000000001E-2</v>
      </c>
      <c r="K44" s="18" t="s">
        <v>4</v>
      </c>
      <c r="L44" s="19">
        <f t="shared" si="0"/>
        <v>3.25</v>
      </c>
      <c r="M44" s="31">
        <f t="shared" si="1"/>
        <v>203.25</v>
      </c>
    </row>
    <row r="45" spans="1:15" x14ac:dyDescent="0.2">
      <c r="A45" s="5"/>
      <c r="B45" s="8"/>
      <c r="C45" s="5"/>
      <c r="D45" s="5"/>
      <c r="E45" s="5"/>
      <c r="F45" s="5"/>
      <c r="G45" s="7"/>
      <c r="H45" s="5"/>
      <c r="I45" s="5"/>
      <c r="J45" s="5"/>
      <c r="K45" s="5"/>
      <c r="L45" s="5"/>
      <c r="M45" s="5"/>
    </row>
    <row r="46" spans="1:15" x14ac:dyDescent="0.2">
      <c r="A46" s="5"/>
      <c r="B46" s="5"/>
      <c r="C46" s="5"/>
      <c r="D46" s="9"/>
      <c r="E46" s="5"/>
      <c r="F46" s="5"/>
      <c r="G46" s="6"/>
      <c r="H46" s="5"/>
      <c r="I46" s="5"/>
      <c r="J46" s="5"/>
      <c r="K46" s="5"/>
      <c r="L46" s="9" t="s">
        <v>19</v>
      </c>
      <c r="M46" s="20">
        <f>SUM(M27:M44)+G11+G17+G24</f>
        <v>270104.46179999993</v>
      </c>
    </row>
    <row r="48" spans="1:15" x14ac:dyDescent="0.2">
      <c r="A48" s="23" t="s">
        <v>10</v>
      </c>
      <c r="B48" s="23"/>
      <c r="C48" s="23"/>
      <c r="D48" s="23"/>
      <c r="E48" s="23"/>
      <c r="F48" s="23"/>
      <c r="G48" s="24"/>
      <c r="H48" s="1" t="s">
        <v>11</v>
      </c>
      <c r="J48" s="1" t="s">
        <v>20</v>
      </c>
    </row>
    <row r="49" spans="1:10" x14ac:dyDescent="0.2">
      <c r="A49" s="23"/>
      <c r="B49" s="23"/>
      <c r="C49" s="23"/>
      <c r="D49" s="23"/>
      <c r="E49" s="23"/>
      <c r="F49" s="23"/>
      <c r="G49" s="25"/>
    </row>
    <row r="50" spans="1:10" x14ac:dyDescent="0.2">
      <c r="A50" s="23" t="s">
        <v>17</v>
      </c>
      <c r="B50" s="23"/>
      <c r="C50" s="23"/>
      <c r="D50" s="23"/>
      <c r="E50" s="23"/>
      <c r="F50" s="23"/>
      <c r="G50" s="24"/>
      <c r="J50" s="1" t="s">
        <v>20</v>
      </c>
    </row>
    <row r="51" spans="1:10" x14ac:dyDescent="0.2">
      <c r="A51" s="23" t="s">
        <v>21</v>
      </c>
      <c r="B51" s="23"/>
      <c r="C51" s="23"/>
      <c r="D51" s="23"/>
      <c r="E51" s="23"/>
      <c r="F51" s="23"/>
      <c r="G51" s="25"/>
    </row>
    <row r="52" spans="1:10" x14ac:dyDescent="0.2">
      <c r="A52" s="23" t="s">
        <v>16</v>
      </c>
      <c r="B52" s="23"/>
      <c r="C52" s="23"/>
      <c r="D52" s="23"/>
      <c r="E52" s="23"/>
      <c r="F52" s="23"/>
      <c r="G52" s="25"/>
    </row>
    <row r="55" spans="1:10" x14ac:dyDescent="0.2">
      <c r="A55" s="10" t="s">
        <v>12</v>
      </c>
      <c r="B55" s="11"/>
      <c r="C55" s="11"/>
      <c r="D55" s="11"/>
      <c r="E55" s="11"/>
      <c r="F55" s="11"/>
      <c r="G55" s="27">
        <f>M46</f>
        <v>270104.46179999993</v>
      </c>
      <c r="H55" s="10"/>
    </row>
    <row r="56" spans="1:10" x14ac:dyDescent="0.2">
      <c r="A56" s="30" t="s">
        <v>43</v>
      </c>
      <c r="G56" s="2">
        <f>G55-'SRO Cost Analysis #1'!G46</f>
        <v>34599.842799999926</v>
      </c>
    </row>
    <row r="57" spans="1:10" x14ac:dyDescent="0.2">
      <c r="D57" s="12"/>
    </row>
    <row r="58" spans="1:10" x14ac:dyDescent="0.2">
      <c r="A58" s="1" t="s">
        <v>13</v>
      </c>
    </row>
    <row r="60" spans="1:10" s="11" customFormat="1" x14ac:dyDescent="0.2">
      <c r="G60" s="3"/>
    </row>
    <row r="62" spans="1:10" x14ac:dyDescent="0.2">
      <c r="A62" s="1" t="s">
        <v>18</v>
      </c>
    </row>
    <row r="63" spans="1:10" x14ac:dyDescent="0.2">
      <c r="A63" s="1" t="s">
        <v>14</v>
      </c>
    </row>
    <row r="64" spans="1:10" x14ac:dyDescent="0.2">
      <c r="A64" s="1" t="s">
        <v>15</v>
      </c>
    </row>
  </sheetData>
  <mergeCells count="1">
    <mergeCell ref="A1:I1"/>
  </mergeCells>
  <pageMargins left="0" right="0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SRO Cost Analysis #1</vt:lpstr>
      <vt:lpstr>SRO Cost Analysis #2</vt:lpstr>
      <vt:lpstr>SRO Cost Analysis #3</vt:lpstr>
      <vt:lpstr>SRO Cost Analysis #4 </vt:lpstr>
    </vt:vector>
  </TitlesOfParts>
  <Company>City of Gahanna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Mumma</dc:creator>
  <cp:lastModifiedBy>Jeff Spence</cp:lastModifiedBy>
  <cp:lastPrinted>2015-04-21T14:43:42Z</cp:lastPrinted>
  <dcterms:created xsi:type="dcterms:W3CDTF">2007-05-21T14:23:29Z</dcterms:created>
  <dcterms:modified xsi:type="dcterms:W3CDTF">2025-04-21T12:29:54Z</dcterms:modified>
</cp:coreProperties>
</file>