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hanna-my.sharepoint.com/personal/jeff_gottke_gahanna_gov/Documents/Abatements/KBC Illinois Investments/"/>
    </mc:Choice>
  </mc:AlternateContent>
  <xr:revisionPtr revIDLastSave="2375" documentId="8_{99E4C45E-0186-4FD2-8BE0-FD794B6D7986}" xr6:coauthVersionLast="47" xr6:coauthVersionMax="47" xr10:uidLastSave="{D6CDADC7-2CF5-4DF8-B36A-A432F2C033DF}"/>
  <bookViews>
    <workbookView xWindow="28680" yWindow="-120" windowWidth="29040" windowHeight="15720" xr2:uid="{2759B7D2-9452-451C-96AF-C884858DB04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1" l="1"/>
  <c r="P15" i="1"/>
  <c r="P17" i="1"/>
  <c r="R30" i="1"/>
  <c r="R31" i="1"/>
  <c r="S14" i="1"/>
  <c r="S12" i="1"/>
  <c r="S10" i="1"/>
  <c r="N38" i="1"/>
  <c r="S16" i="1"/>
  <c r="J16" i="1"/>
  <c r="J10" i="1" l="1"/>
  <c r="J11" i="1" s="1"/>
  <c r="D34" i="1"/>
  <c r="D35" i="1" s="1"/>
  <c r="M34" i="1" l="1"/>
  <c r="J34" i="1"/>
  <c r="C34" i="1"/>
  <c r="N34" i="1"/>
  <c r="L34" i="1"/>
  <c r="K34" i="1"/>
  <c r="I34" i="1"/>
  <c r="H34" i="1"/>
  <c r="G34" i="1"/>
  <c r="F34" i="1"/>
  <c r="E34" i="1"/>
  <c r="O30" i="1"/>
  <c r="P30" i="1"/>
  <c r="Q30" i="1"/>
  <c r="O29" i="1"/>
  <c r="P29" i="1"/>
  <c r="Q29" i="1"/>
  <c r="E36" i="1" l="1"/>
  <c r="M36" i="1"/>
  <c r="N36" i="1"/>
  <c r="T12" i="1" s="1"/>
  <c r="D36" i="1"/>
  <c r="C36" i="1"/>
  <c r="F36" i="1"/>
  <c r="G36" i="1"/>
  <c r="H36" i="1"/>
  <c r="I36" i="1"/>
  <c r="J36" i="1"/>
  <c r="K36" i="1"/>
  <c r="L36" i="1"/>
  <c r="K35" i="1"/>
  <c r="C35" i="1"/>
  <c r="G35" i="1"/>
  <c r="J35" i="1"/>
  <c r="E35" i="1"/>
  <c r="F35" i="1"/>
  <c r="H35" i="1"/>
  <c r="I35" i="1"/>
  <c r="L35" i="1"/>
  <c r="N35" i="1"/>
  <c r="M35" i="1"/>
  <c r="K22" i="1"/>
  <c r="R35" i="1" l="1"/>
  <c r="R36" i="1"/>
  <c r="D24" i="1"/>
  <c r="E24" i="1"/>
  <c r="F24" i="1"/>
  <c r="G24" i="1"/>
  <c r="H24" i="1"/>
  <c r="I24" i="1"/>
  <c r="J24" i="1"/>
  <c r="K24" i="1"/>
  <c r="C24" i="1"/>
  <c r="O38" i="1"/>
  <c r="P38" i="1"/>
  <c r="Q38" i="1"/>
  <c r="O39" i="1"/>
  <c r="P39" i="1"/>
  <c r="Q39" i="1"/>
  <c r="O31" i="1"/>
  <c r="P31" i="1"/>
  <c r="Q31" i="1"/>
  <c r="O25" i="1"/>
  <c r="O42" i="1" s="1"/>
  <c r="P25" i="1"/>
  <c r="P42" i="1" s="1"/>
  <c r="Q25" i="1"/>
  <c r="Q42" i="1" s="1"/>
  <c r="R34" i="1"/>
  <c r="J12" i="1"/>
  <c r="J13" i="1" s="1"/>
  <c r="J14" i="1" s="1"/>
  <c r="G16" i="1"/>
  <c r="C16" i="1"/>
  <c r="C17" i="1" s="1"/>
  <c r="D17" i="1" s="1"/>
  <c r="L22" i="1"/>
  <c r="M22" i="1" s="1"/>
  <c r="N22" i="1" s="1"/>
  <c r="T14" i="1" l="1"/>
  <c r="T10" i="1"/>
  <c r="R10" i="1"/>
  <c r="R12" i="1"/>
  <c r="C28" i="1"/>
  <c r="N28" i="1"/>
  <c r="D28" i="1"/>
  <c r="E28" i="1"/>
  <c r="F28" i="1"/>
  <c r="G28" i="1"/>
  <c r="H28" i="1"/>
  <c r="I28" i="1"/>
  <c r="J28" i="1"/>
  <c r="K28" i="1"/>
  <c r="L28" i="1"/>
  <c r="M28" i="1"/>
  <c r="L24" i="1"/>
  <c r="N23" i="1"/>
  <c r="N24" i="1"/>
  <c r="M23" i="1"/>
  <c r="M24" i="1"/>
  <c r="Q40" i="1"/>
  <c r="Q41" i="1" s="1"/>
  <c r="O40" i="1"/>
  <c r="O41" i="1" s="1"/>
  <c r="P40" i="1"/>
  <c r="P41" i="1" s="1"/>
  <c r="C37" i="1" l="1"/>
  <c r="C38" i="1" s="1"/>
  <c r="C43" i="1" s="1"/>
  <c r="L16" i="1"/>
  <c r="N25" i="1"/>
  <c r="J31" i="1" l="1"/>
  <c r="J29" i="1"/>
  <c r="J30" i="1"/>
  <c r="N31" i="1"/>
  <c r="N30" i="1"/>
  <c r="N29" i="1"/>
  <c r="M31" i="1"/>
  <c r="M29" i="1"/>
  <c r="M30" i="1"/>
  <c r="D31" i="1"/>
  <c r="D30" i="1"/>
  <c r="D29" i="1"/>
  <c r="C31" i="1"/>
  <c r="C29" i="1"/>
  <c r="C30" i="1"/>
  <c r="L31" i="1"/>
  <c r="L29" i="1"/>
  <c r="L30" i="1"/>
  <c r="I31" i="1"/>
  <c r="I30" i="1"/>
  <c r="I29" i="1"/>
  <c r="H31" i="1"/>
  <c r="H30" i="1"/>
  <c r="H29" i="1"/>
  <c r="G31" i="1"/>
  <c r="G30" i="1"/>
  <c r="G29" i="1"/>
  <c r="F31" i="1"/>
  <c r="F29" i="1"/>
  <c r="F30" i="1"/>
  <c r="R28" i="1" s="1"/>
  <c r="R29" i="1" s="1"/>
  <c r="E31" i="1"/>
  <c r="E30" i="1"/>
  <c r="E29" i="1"/>
  <c r="K31" i="1"/>
  <c r="K30" i="1"/>
  <c r="K29" i="1"/>
  <c r="P45" i="1"/>
  <c r="O45" i="1"/>
  <c r="Q45" i="1"/>
  <c r="L37" i="1" l="1"/>
  <c r="L38" i="1" s="1"/>
  <c r="D37" i="1"/>
  <c r="D38" i="1" s="1"/>
  <c r="K37" i="1"/>
  <c r="K38" i="1" s="1"/>
  <c r="I37" i="1"/>
  <c r="I38" i="1" s="1"/>
  <c r="J37" i="1"/>
  <c r="J38" i="1" s="1"/>
  <c r="E37" i="1"/>
  <c r="E38" i="1" s="1"/>
  <c r="F37" i="1"/>
  <c r="F38" i="1" s="1"/>
  <c r="H37" i="1"/>
  <c r="H38" i="1" s="1"/>
  <c r="G37" i="1"/>
  <c r="G38" i="1" s="1"/>
  <c r="O13" i="1" l="1"/>
  <c r="O11" i="1" s="1"/>
  <c r="N37" i="1"/>
  <c r="K43" i="1"/>
  <c r="M37" i="1"/>
  <c r="M38" i="1" s="1"/>
  <c r="L43" i="1"/>
  <c r="N43" i="1" l="1"/>
  <c r="D43" i="1"/>
  <c r="F43" i="1"/>
  <c r="I43" i="1"/>
  <c r="J43" i="1"/>
  <c r="H43" i="1"/>
  <c r="G43" i="1"/>
  <c r="E43" i="1"/>
  <c r="R37" i="1"/>
  <c r="E23" i="1"/>
  <c r="F23" i="1"/>
  <c r="G23" i="1"/>
  <c r="H23" i="1"/>
  <c r="I23" i="1"/>
  <c r="R44" i="1" l="1"/>
  <c r="M43" i="1"/>
  <c r="R43" i="1" s="1"/>
  <c r="R38" i="1"/>
  <c r="H25" i="1"/>
  <c r="H40" i="1" s="1"/>
  <c r="H41" i="1" l="1"/>
  <c r="H45" i="1"/>
  <c r="H42" i="1"/>
  <c r="I25" i="1"/>
  <c r="I40" i="1" s="1"/>
  <c r="D23" i="1"/>
  <c r="C23" i="1"/>
  <c r="I41" i="1" l="1"/>
  <c r="I45" i="1"/>
  <c r="I42" i="1"/>
  <c r="J23" i="1"/>
  <c r="J25" i="1" s="1"/>
  <c r="J40" i="1" s="1"/>
  <c r="C25" i="1"/>
  <c r="D25" i="1"/>
  <c r="E25" i="1"/>
  <c r="G25" i="1"/>
  <c r="G40" i="1" s="1"/>
  <c r="F25" i="1"/>
  <c r="F40" i="1" s="1"/>
  <c r="F41" i="1" l="1"/>
  <c r="F45" i="1"/>
  <c r="G41" i="1"/>
  <c r="G45" i="1"/>
  <c r="J41" i="1"/>
  <c r="J45" i="1"/>
  <c r="E41" i="1"/>
  <c r="E40" i="1"/>
  <c r="E45" i="1" s="1"/>
  <c r="D41" i="1"/>
  <c r="D40" i="1"/>
  <c r="D45" i="1" s="1"/>
  <c r="F42" i="1"/>
  <c r="G42" i="1"/>
  <c r="E42" i="1"/>
  <c r="D42" i="1"/>
  <c r="J42" i="1"/>
  <c r="C40" i="1"/>
  <c r="C45" i="1" s="1"/>
  <c r="C42" i="1"/>
  <c r="L23" i="1"/>
  <c r="K23" i="1"/>
  <c r="L25" i="1" l="1"/>
  <c r="L40" i="1" s="1"/>
  <c r="K25" i="1"/>
  <c r="K40" i="1" s="1"/>
  <c r="K41" i="1" l="1"/>
  <c r="K45" i="1"/>
  <c r="L41" i="1"/>
  <c r="L45" i="1"/>
  <c r="L42" i="1"/>
  <c r="K42" i="1"/>
  <c r="R22" i="1"/>
  <c r="M25" i="1"/>
  <c r="M40" i="1" s="1"/>
  <c r="M41" i="1" l="1"/>
  <c r="M45" i="1"/>
  <c r="M42" i="1"/>
  <c r="R24" i="1"/>
  <c r="R23" i="1"/>
  <c r="N40" i="1" l="1"/>
  <c r="N41" i="1" l="1"/>
  <c r="N45" i="1"/>
  <c r="R25" i="1"/>
  <c r="N42" i="1"/>
  <c r="R41" i="1" l="1"/>
  <c r="R39" i="1"/>
  <c r="R40" i="1"/>
  <c r="R45" i="1" s="1"/>
  <c r="R42" i="1"/>
  <c r="P13" i="1" l="1"/>
</calcChain>
</file>

<file path=xl/sharedStrings.xml><?xml version="1.0" encoding="utf-8"?>
<sst xmlns="http://schemas.openxmlformats.org/spreadsheetml/2006/main" count="119" uniqueCount="101">
  <si>
    <t>Issue 12 1% Tax</t>
  </si>
  <si>
    <t>1.5% tax on payroll</t>
  </si>
  <si>
    <t>Total</t>
  </si>
  <si>
    <t>Total New Income Tax</t>
  </si>
  <si>
    <t>Jeff Gottke</t>
  </si>
  <si>
    <t>RATE (%)</t>
  </si>
  <si>
    <t>TERM (YRS)</t>
  </si>
  <si>
    <t>Tech Center Drive</t>
  </si>
  <si>
    <t>Abatement Value</t>
  </si>
  <si>
    <t>TIF Service Payments</t>
  </si>
  <si>
    <t>12 Months</t>
  </si>
  <si>
    <t>Total Revenue Value</t>
  </si>
  <si>
    <t>Parcel 1</t>
  </si>
  <si>
    <t>025-13634-00</t>
  </si>
  <si>
    <t>027-000110-00</t>
  </si>
  <si>
    <t>Job Creation Table</t>
  </si>
  <si>
    <t>Author:</t>
  </si>
  <si>
    <t>Updated:</t>
  </si>
  <si>
    <t xml:space="preserve">Project Name: </t>
  </si>
  <si>
    <t>Community Impact Programs</t>
  </si>
  <si>
    <t>School Share</t>
  </si>
  <si>
    <t>City Share</t>
  </si>
  <si>
    <t>TO COMPANY</t>
  </si>
  <si>
    <t>TO COMMUNITY</t>
  </si>
  <si>
    <t>Calendar Year</t>
  </si>
  <si>
    <t>1. PRE-PROJECT DETAILS</t>
  </si>
  <si>
    <t>2. PROJECT DETAILS</t>
  </si>
  <si>
    <t>4. PROPOSED ABATEMENT</t>
  </si>
  <si>
    <t>5. RETURN ON INVESTMENT</t>
  </si>
  <si>
    <t>To the Company</t>
  </si>
  <si>
    <t>Velocis Gahanna JV, LP</t>
  </si>
  <si>
    <t>Guaranteed Jobs</t>
  </si>
  <si>
    <t>Guaranteed Payroll</t>
  </si>
  <si>
    <t>To the Community</t>
  </si>
  <si>
    <t xml:space="preserve">Income Tax Collections </t>
  </si>
  <si>
    <t xml:space="preserve">School Share </t>
  </si>
  <si>
    <t>Land - Assessed</t>
  </si>
  <si>
    <t>Income Tax</t>
  </si>
  <si>
    <t>CRA ABATEMENT ROI CALCULATOR</t>
  </si>
  <si>
    <t>ROI</t>
  </si>
  <si>
    <t>Unabated Tax Value</t>
  </si>
  <si>
    <t>New Base Tax</t>
  </si>
  <si>
    <t>Assessed value of the land after the sale occurs. This is the value that the New Base Tax is based upon.</t>
  </si>
  <si>
    <t>This is the appraised value of the improvements after the project is complete. This is reflects the anticipated construction costs</t>
  </si>
  <si>
    <t>Asseed value of the imporovements, which is 35% of the appraised value.</t>
  </si>
  <si>
    <t>This the new amount that the property owner will pay regardless of the abatement percentage. It is determined by multiplying the Land - Assessed value by the millage rate (81.853066)</t>
  </si>
  <si>
    <t>Land - Appraised</t>
  </si>
  <si>
    <t xml:space="preserve">This is the value of the property after the sale. Usually, the sale price sets this value. </t>
  </si>
  <si>
    <t>3. POST-PROJECT  VALUES*</t>
  </si>
  <si>
    <t xml:space="preserve">This is amount of tax the company would pay if no abatement were in place. </t>
  </si>
  <si>
    <t>Final Payroll</t>
  </si>
  <si>
    <t>This the amount of guaranteed minimum payroll for the project</t>
  </si>
  <si>
    <t>This the value of the income tax collected over the life of the abatement</t>
  </si>
  <si>
    <t>City Share**</t>
  </si>
  <si>
    <t>** Goes to TIF account</t>
  </si>
  <si>
    <t xml:space="preserve"> 3% increase in payroll per year beginning in year 2</t>
  </si>
  <si>
    <t>TO SCHOOLS</t>
  </si>
  <si>
    <t>TO CITY</t>
  </si>
  <si>
    <t>TOTAL TO SCHOOLS</t>
  </si>
  <si>
    <t>TOTAL TO CITY</t>
  </si>
  <si>
    <t>PRE-ABATEMENT</t>
  </si>
  <si>
    <t>TO TIF</t>
  </si>
  <si>
    <t>POST-ABATEMENT</t>
  </si>
  <si>
    <t>* Land - Appraised</t>
  </si>
  <si>
    <t>*Land - Assessed</t>
  </si>
  <si>
    <t>*New Base Tax</t>
  </si>
  <si>
    <t>*Final Payroll</t>
  </si>
  <si>
    <t>*Income Tax</t>
  </si>
  <si>
    <t>6. SUMMARY (ANNUAL)</t>
  </si>
  <si>
    <t>Unabated Taxes</t>
  </si>
  <si>
    <t>Abated Property Taxes</t>
  </si>
  <si>
    <t>Improved - Appraised</t>
  </si>
  <si>
    <t>Improved - Assessed</t>
  </si>
  <si>
    <t>*Improved - Appraised</t>
  </si>
  <si>
    <t>*Improved - Assessed</t>
  </si>
  <si>
    <t>*Unabated Tax Value</t>
  </si>
  <si>
    <t>Parcel 2***</t>
  </si>
  <si>
    <t>*** Current taxes on Parcel 2 are estimated due to a valuation error with the County Auditor.</t>
  </si>
  <si>
    <t>Land Cost</t>
  </si>
  <si>
    <t>Construction Hard Costs</t>
  </si>
  <si>
    <t>Construction Soft Costs</t>
  </si>
  <si>
    <t>Construction Term</t>
  </si>
  <si>
    <t>Building Size (SF)</t>
  </si>
  <si>
    <t>Job Creation Est.</t>
  </si>
  <si>
    <t>Job Creation Term (YRS)</t>
  </si>
  <si>
    <t>Average Salary</t>
  </si>
  <si>
    <t>Address</t>
  </si>
  <si>
    <t>Parcel(s)</t>
  </si>
  <si>
    <t>Acreage</t>
  </si>
  <si>
    <t>Effective Millage Rate</t>
  </si>
  <si>
    <t>School Amount</t>
  </si>
  <si>
    <t>City Amount</t>
  </si>
  <si>
    <t>Current Appraised Value</t>
  </si>
  <si>
    <t>Current Assessed Value</t>
  </si>
  <si>
    <t>Current Taxes</t>
  </si>
  <si>
    <t>UNK</t>
  </si>
  <si>
    <t>Demonstrated Financial Gap</t>
  </si>
  <si>
    <t>Annual Abatement Value</t>
  </si>
  <si>
    <t>DURING ABATEMENT</t>
  </si>
  <si>
    <t>06.16.2025</t>
  </si>
  <si>
    <t>TOTAL ABATEMENT TAX IMPACT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</si>
</sst>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3">
    <xf numFmtId="0" fontId="0" fillId="0" borderId="0" xfId="0"/>
    <xf numFmtId="0" fontId="0" fillId="0" borderId="4" xfId="0" applyBorder="1"/>
    <xf numFmtId="0" fontId="0" fillId="0" borderId="6" xfId="0" applyBorder="1"/>
    <xf numFmtId="3" fontId="3" fillId="0" borderId="0" xfId="1" applyNumberFormat="1" applyFont="1" applyFill="1" applyBorder="1"/>
    <xf numFmtId="0" fontId="4" fillId="0" borderId="0" xfId="0" applyFont="1"/>
    <xf numFmtId="0" fontId="2" fillId="0" borderId="0" xfId="0" applyFont="1"/>
    <xf numFmtId="0" fontId="3" fillId="0" borderId="0" xfId="0" applyFont="1" applyFill="1" applyBorder="1"/>
    <xf numFmtId="3" fontId="6" fillId="0" borderId="0" xfId="0" applyNumberFormat="1" applyFont="1" applyFill="1"/>
    <xf numFmtId="164" fontId="0" fillId="0" borderId="0" xfId="1" applyNumberFormat="1" applyFont="1"/>
    <xf numFmtId="0" fontId="7" fillId="0" borderId="0" xfId="0" applyFont="1" applyFill="1" applyBorder="1"/>
    <xf numFmtId="3" fontId="7" fillId="0" borderId="0" xfId="1" applyNumberFormat="1" applyFont="1" applyFill="1" applyBorder="1"/>
    <xf numFmtId="0" fontId="2" fillId="0" borderId="0" xfId="0" applyFont="1" applyBorder="1"/>
    <xf numFmtId="164" fontId="6" fillId="2" borderId="0" xfId="1" applyNumberFormat="1" applyFont="1" applyFill="1"/>
    <xf numFmtId="164" fontId="2" fillId="0" borderId="0" xfId="1" applyNumberFormat="1" applyFont="1"/>
    <xf numFmtId="0" fontId="11" fillId="0" borderId="0" xfId="0" applyFon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7" fillId="0" borderId="0" xfId="0" applyFont="1" applyBorder="1" applyAlignment="1">
      <alignment horizontal="right" vertical="top" wrapText="1"/>
    </xf>
    <xf numFmtId="0" fontId="7" fillId="0" borderId="5" xfId="0" applyFont="1" applyBorder="1" applyAlignment="1">
      <alignment horizontal="right"/>
    </xf>
    <xf numFmtId="164" fontId="7" fillId="0" borderId="0" xfId="1" applyNumberFormat="1" applyFont="1" applyBorder="1" applyAlignment="1">
      <alignment horizontal="right" vertical="top" wrapText="1"/>
    </xf>
    <xf numFmtId="164" fontId="7" fillId="0" borderId="5" xfId="1" applyNumberFormat="1" applyFont="1" applyBorder="1" applyAlignment="1">
      <alignment horizontal="right"/>
    </xf>
    <xf numFmtId="164" fontId="0" fillId="0" borderId="5" xfId="1" applyNumberFormat="1" applyFont="1" applyBorder="1"/>
    <xf numFmtId="44" fontId="0" fillId="0" borderId="5" xfId="1" applyFont="1" applyBorder="1" applyAlignment="1">
      <alignment horizontal="right"/>
    </xf>
    <xf numFmtId="3" fontId="0" fillId="0" borderId="5" xfId="0" applyNumberFormat="1" applyFont="1" applyBorder="1"/>
    <xf numFmtId="0" fontId="0" fillId="0" borderId="5" xfId="0" applyFont="1" applyBorder="1"/>
    <xf numFmtId="0" fontId="8" fillId="4" borderId="1" xfId="0" applyFont="1" applyFill="1" applyBorder="1"/>
    <xf numFmtId="3" fontId="7" fillId="4" borderId="2" xfId="1" applyNumberFormat="1" applyFont="1" applyFill="1" applyBorder="1"/>
    <xf numFmtId="0" fontId="6" fillId="2" borderId="8" xfId="0" applyFont="1" applyFill="1" applyBorder="1"/>
    <xf numFmtId="164" fontId="6" fillId="2" borderId="13" xfId="1" applyNumberFormat="1" applyFont="1" applyFill="1" applyBorder="1"/>
    <xf numFmtId="164" fontId="7" fillId="0" borderId="0" xfId="1" applyNumberFormat="1" applyFont="1" applyFill="1" applyBorder="1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164" fontId="0" fillId="0" borderId="0" xfId="1" applyNumberFormat="1" applyFont="1" applyAlignment="1">
      <alignment horizontal="left"/>
    </xf>
    <xf numFmtId="0" fontId="8" fillId="3" borderId="1" xfId="0" applyFont="1" applyFill="1" applyBorder="1"/>
    <xf numFmtId="3" fontId="7" fillId="3" borderId="2" xfId="1" applyNumberFormat="1" applyFont="1" applyFill="1" applyBorder="1"/>
    <xf numFmtId="164" fontId="6" fillId="2" borderId="11" xfId="1" applyNumberFormat="1" applyFont="1" applyFill="1" applyBorder="1"/>
    <xf numFmtId="3" fontId="1" fillId="3" borderId="2" xfId="1" applyNumberFormat="1" applyFont="1" applyFill="1" applyBorder="1"/>
    <xf numFmtId="164" fontId="0" fillId="0" borderId="5" xfId="1" applyNumberFormat="1" applyFont="1" applyFill="1" applyBorder="1" applyAlignment="1">
      <alignment horizontal="left"/>
    </xf>
    <xf numFmtId="0" fontId="0" fillId="0" borderId="4" xfId="0" applyFill="1" applyBorder="1"/>
    <xf numFmtId="0" fontId="0" fillId="0" borderId="12" xfId="0" applyFill="1" applyBorder="1"/>
    <xf numFmtId="164" fontId="0" fillId="0" borderId="4" xfId="1" applyNumberFormat="1" applyFont="1" applyFill="1" applyBorder="1" applyAlignment="1">
      <alignment horizontal="left" vertical="top"/>
    </xf>
    <xf numFmtId="3" fontId="0" fillId="0" borderId="12" xfId="0" applyNumberFormat="1" applyFill="1" applyBorder="1"/>
    <xf numFmtId="0" fontId="0" fillId="0" borderId="6" xfId="0" applyFill="1" applyBorder="1"/>
    <xf numFmtId="164" fontId="6" fillId="2" borderId="4" xfId="1" applyNumberFormat="1" applyFont="1" applyFill="1" applyBorder="1"/>
    <xf numFmtId="164" fontId="6" fillId="2" borderId="0" xfId="1" applyNumberFormat="1" applyFont="1" applyFill="1" applyBorder="1"/>
    <xf numFmtId="164" fontId="7" fillId="0" borderId="11" xfId="1" applyNumberFormat="1" applyFont="1" applyBorder="1" applyAlignment="1">
      <alignment horizontal="right" vertical="top" wrapText="1"/>
    </xf>
    <xf numFmtId="164" fontId="2" fillId="0" borderId="5" xfId="1" applyNumberFormat="1" applyFont="1" applyFill="1" applyBorder="1"/>
    <xf numFmtId="164" fontId="6" fillId="2" borderId="5" xfId="1" applyNumberFormat="1" applyFont="1" applyFill="1" applyBorder="1"/>
    <xf numFmtId="164" fontId="8" fillId="0" borderId="0" xfId="1" applyNumberFormat="1" applyFont="1" applyFill="1" applyBorder="1"/>
    <xf numFmtId="0" fontId="6" fillId="2" borderId="6" xfId="0" applyFont="1" applyFill="1" applyBorder="1"/>
    <xf numFmtId="0" fontId="2" fillId="0" borderId="13" xfId="0" applyFont="1" applyBorder="1" applyAlignment="1">
      <alignment horizontal="center"/>
    </xf>
    <xf numFmtId="3" fontId="8" fillId="4" borderId="3" xfId="0" applyNumberFormat="1" applyFont="1" applyFill="1" applyBorder="1" applyAlignment="1">
      <alignment horizontal="center"/>
    </xf>
    <xf numFmtId="3" fontId="2" fillId="3" borderId="3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3" fontId="12" fillId="0" borderId="0" xfId="1" applyNumberFormat="1" applyFont="1" applyFill="1" applyBorder="1"/>
    <xf numFmtId="0" fontId="13" fillId="0" borderId="0" xfId="0" applyFont="1"/>
    <xf numFmtId="0" fontId="14" fillId="0" borderId="0" xfId="0" applyFont="1"/>
    <xf numFmtId="0" fontId="2" fillId="0" borderId="13" xfId="0" applyFont="1" applyFill="1" applyBorder="1" applyAlignment="1">
      <alignment horizontal="center"/>
    </xf>
    <xf numFmtId="0" fontId="2" fillId="0" borderId="13" xfId="0" applyFont="1" applyBorder="1"/>
    <xf numFmtId="0" fontId="2" fillId="0" borderId="9" xfId="0" applyFont="1" applyBorder="1"/>
    <xf numFmtId="3" fontId="14" fillId="0" borderId="0" xfId="1" applyNumberFormat="1" applyFont="1" applyFill="1" applyBorder="1"/>
    <xf numFmtId="3" fontId="12" fillId="0" borderId="0" xfId="1" applyNumberFormat="1" applyFont="1" applyFill="1" applyBorder="1" applyAlignment="1">
      <alignment horizontal="right"/>
    </xf>
    <xf numFmtId="0" fontId="2" fillId="0" borderId="8" xfId="0" applyFont="1" applyBorder="1"/>
    <xf numFmtId="0" fontId="10" fillId="7" borderId="1" xfId="0" applyFont="1" applyFill="1" applyBorder="1"/>
    <xf numFmtId="0" fontId="0" fillId="0" borderId="0" xfId="0" applyFont="1" applyFill="1" applyBorder="1"/>
    <xf numFmtId="164" fontId="2" fillId="0" borderId="12" xfId="1" applyNumberFormat="1" applyFont="1" applyFill="1" applyBorder="1" applyAlignment="1">
      <alignment horizontal="left"/>
    </xf>
    <xf numFmtId="0" fontId="8" fillId="0" borderId="4" xfId="0" applyFont="1" applyFill="1" applyBorder="1"/>
    <xf numFmtId="164" fontId="7" fillId="0" borderId="12" xfId="1" applyNumberFormat="1" applyFont="1" applyFill="1" applyBorder="1"/>
    <xf numFmtId="0" fontId="0" fillId="0" borderId="10" xfId="0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/>
    </xf>
    <xf numFmtId="0" fontId="9" fillId="0" borderId="0" xfId="0" applyFont="1"/>
    <xf numFmtId="0" fontId="0" fillId="0" borderId="4" xfId="0" applyBorder="1" applyAlignment="1">
      <alignment horizontal="center"/>
    </xf>
    <xf numFmtId="0" fontId="14" fillId="0" borderId="4" xfId="0" applyFont="1" applyBorder="1" applyAlignment="1">
      <alignment horizontal="center"/>
    </xf>
    <xf numFmtId="10" fontId="7" fillId="0" borderId="0" xfId="0" applyNumberFormat="1" applyFont="1" applyBorder="1" applyAlignment="1">
      <alignment horizontal="right" vertical="top" wrapText="1"/>
    </xf>
    <xf numFmtId="10" fontId="7" fillId="0" borderId="5" xfId="0" applyNumberFormat="1" applyFont="1" applyBorder="1" applyAlignment="1">
      <alignment horizontal="right"/>
    </xf>
    <xf numFmtId="164" fontId="6" fillId="2" borderId="7" xfId="1" applyNumberFormat="1" applyFont="1" applyFill="1" applyBorder="1"/>
    <xf numFmtId="164" fontId="6" fillId="0" borderId="0" xfId="1" applyNumberFormat="1" applyFont="1" applyFill="1" applyBorder="1"/>
    <xf numFmtId="0" fontId="0" fillId="0" borderId="4" xfId="0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9" fontId="15" fillId="0" borderId="7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10" borderId="1" xfId="0" applyFont="1" applyFill="1" applyBorder="1"/>
    <xf numFmtId="0" fontId="0" fillId="10" borderId="2" xfId="0" applyFont="1" applyFill="1" applyBorder="1"/>
    <xf numFmtId="0" fontId="0" fillId="10" borderId="2" xfId="0" applyFont="1" applyFill="1" applyBorder="1" applyAlignment="1">
      <alignment horizontal="right"/>
    </xf>
    <xf numFmtId="0" fontId="0" fillId="10" borderId="0" xfId="0" applyFont="1" applyFill="1" applyBorder="1"/>
    <xf numFmtId="0" fontId="2" fillId="10" borderId="12" xfId="0" applyFont="1" applyFill="1" applyBorder="1" applyAlignment="1">
      <alignment horizontal="center"/>
    </xf>
    <xf numFmtId="164" fontId="0" fillId="0" borderId="7" xfId="0" applyNumberFormat="1" applyBorder="1"/>
    <xf numFmtId="164" fontId="9" fillId="3" borderId="5" xfId="0" applyNumberFormat="1" applyFont="1" applyFill="1" applyBorder="1" applyAlignment="1">
      <alignment horizontal="left" indent="4"/>
    </xf>
    <xf numFmtId="164" fontId="9" fillId="5" borderId="4" xfId="0" applyNumberFormat="1" applyFont="1" applyFill="1" applyBorder="1" applyAlignment="1">
      <alignment horizontal="left" indent="2"/>
    </xf>
    <xf numFmtId="164" fontId="14" fillId="3" borderId="5" xfId="0" applyNumberFormat="1" applyFont="1" applyFill="1" applyBorder="1" applyAlignment="1">
      <alignment horizontal="left" indent="4"/>
    </xf>
    <xf numFmtId="0" fontId="0" fillId="11" borderId="4" xfId="0" applyFill="1" applyBorder="1"/>
    <xf numFmtId="0" fontId="0" fillId="11" borderId="6" xfId="0" applyFill="1" applyBorder="1"/>
    <xf numFmtId="164" fontId="14" fillId="3" borderId="7" xfId="0" applyNumberFormat="1" applyFont="1" applyFill="1" applyBorder="1"/>
    <xf numFmtId="0" fontId="14" fillId="0" borderId="5" xfId="0" applyFont="1" applyBorder="1" applyAlignment="1">
      <alignment horizontal="right"/>
    </xf>
    <xf numFmtId="3" fontId="16" fillId="0" borderId="0" xfId="1" applyNumberFormat="1" applyFont="1" applyFill="1" applyBorder="1"/>
    <xf numFmtId="164" fontId="8" fillId="0" borderId="5" xfId="1" applyNumberFormat="1" applyFont="1" applyFill="1" applyBorder="1" applyAlignment="1">
      <alignment horizontal="left"/>
    </xf>
    <xf numFmtId="164" fontId="8" fillId="0" borderId="5" xfId="1" applyNumberFormat="1" applyFont="1" applyFill="1" applyBorder="1" applyAlignment="1"/>
    <xf numFmtId="164" fontId="12" fillId="0" borderId="5" xfId="1" applyNumberFormat="1" applyFont="1" applyFill="1" applyBorder="1" applyAlignment="1">
      <alignment horizontal="left" indent="5"/>
    </xf>
    <xf numFmtId="164" fontId="2" fillId="0" borderId="0" xfId="1" applyNumberFormat="1" applyFont="1" applyFill="1" applyAlignment="1">
      <alignment horizontal="left"/>
    </xf>
    <xf numFmtId="0" fontId="2" fillId="0" borderId="0" xfId="1" applyNumberFormat="1" applyFont="1" applyFill="1" applyAlignment="1">
      <alignment horizontal="right"/>
    </xf>
    <xf numFmtId="3" fontId="14" fillId="0" borderId="11" xfId="1" applyNumberFormat="1" applyFont="1" applyFill="1" applyBorder="1"/>
    <xf numFmtId="3" fontId="12" fillId="0" borderId="5" xfId="1" applyNumberFormat="1" applyFont="1" applyFill="1" applyBorder="1" applyAlignment="1">
      <alignment horizontal="left" indent="9"/>
    </xf>
    <xf numFmtId="44" fontId="8" fillId="0" borderId="0" xfId="1" applyFont="1" applyFill="1" applyBorder="1" applyAlignment="1">
      <alignment horizontal="center"/>
    </xf>
    <xf numFmtId="164" fontId="8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7" fillId="0" borderId="7" xfId="1" applyNumberFormat="1" applyFont="1" applyFill="1" applyBorder="1" applyAlignment="1">
      <alignment horizontal="right" indent="8"/>
    </xf>
    <xf numFmtId="164" fontId="2" fillId="0" borderId="0" xfId="1" applyNumberFormat="1" applyFont="1" applyFill="1" applyAlignment="1"/>
    <xf numFmtId="165" fontId="2" fillId="0" borderId="0" xfId="1" applyNumberFormat="1" applyFont="1" applyFill="1" applyAlignment="1"/>
    <xf numFmtId="0" fontId="0" fillId="0" borderId="0" xfId="0" applyFill="1" applyBorder="1"/>
    <xf numFmtId="164" fontId="2" fillId="0" borderId="0" xfId="1" applyNumberFormat="1" applyFont="1" applyFill="1" applyBorder="1" applyAlignment="1">
      <alignment horizontal="left"/>
    </xf>
    <xf numFmtId="3" fontId="0" fillId="0" borderId="0" xfId="0" applyNumberFormat="1" applyFill="1" applyBorder="1"/>
    <xf numFmtId="164" fontId="2" fillId="0" borderId="0" xfId="1" applyNumberFormat="1" applyFont="1" applyFill="1" applyBorder="1"/>
    <xf numFmtId="164" fontId="8" fillId="0" borderId="0" xfId="1" applyNumberFormat="1" applyFont="1" applyFill="1" applyBorder="1" applyAlignment="1">
      <alignment horizontal="left"/>
    </xf>
    <xf numFmtId="3" fontId="12" fillId="0" borderId="0" xfId="1" applyNumberFormat="1" applyFont="1" applyFill="1" applyBorder="1" applyAlignment="1">
      <alignment horizontal="left" indent="9"/>
    </xf>
    <xf numFmtId="164" fontId="8" fillId="0" borderId="0" xfId="1" applyNumberFormat="1" applyFont="1" applyFill="1" applyBorder="1" applyAlignment="1"/>
    <xf numFmtId="164" fontId="12" fillId="0" borderId="0" xfId="1" applyNumberFormat="1" applyFont="1" applyFill="1" applyBorder="1" applyAlignment="1">
      <alignment horizontal="left" indent="5"/>
    </xf>
    <xf numFmtId="0" fontId="2" fillId="0" borderId="0" xfId="0" applyFont="1" applyFill="1" applyBorder="1" applyAlignment="1">
      <alignment horizontal="center"/>
    </xf>
    <xf numFmtId="164" fontId="6" fillId="0" borderId="0" xfId="1" applyNumberFormat="1" applyFont="1" applyFill="1"/>
    <xf numFmtId="3" fontId="8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8" fillId="12" borderId="15" xfId="0" applyFont="1" applyFill="1" applyBorder="1" applyAlignment="1">
      <alignment horizontal="center"/>
    </xf>
    <xf numFmtId="0" fontId="7" fillId="12" borderId="17" xfId="0" applyFont="1" applyFill="1" applyBorder="1" applyAlignment="1">
      <alignment horizontal="center"/>
    </xf>
    <xf numFmtId="165" fontId="8" fillId="12" borderId="17" xfId="0" applyNumberFormat="1" applyFont="1" applyFill="1" applyBorder="1" applyAlignment="1">
      <alignment horizontal="center"/>
    </xf>
    <xf numFmtId="165" fontId="7" fillId="12" borderId="17" xfId="0" applyNumberFormat="1" applyFont="1" applyFill="1" applyBorder="1" applyAlignment="1">
      <alignment horizontal="center"/>
    </xf>
    <xf numFmtId="0" fontId="2" fillId="11" borderId="21" xfId="0" applyFont="1" applyFill="1" applyBorder="1" applyAlignment="1">
      <alignment horizontal="center"/>
    </xf>
    <xf numFmtId="0" fontId="0" fillId="11" borderId="14" xfId="0" applyFill="1" applyBorder="1" applyAlignment="1">
      <alignment horizontal="center"/>
    </xf>
    <xf numFmtId="165" fontId="2" fillId="11" borderId="14" xfId="0" applyNumberFormat="1" applyFont="1" applyFill="1" applyBorder="1" applyAlignment="1">
      <alignment horizontal="center"/>
    </xf>
    <xf numFmtId="165" fontId="0" fillId="11" borderId="14" xfId="0" applyNumberFormat="1" applyFill="1" applyBorder="1" applyAlignment="1">
      <alignment horizontal="center"/>
    </xf>
    <xf numFmtId="165" fontId="0" fillId="11" borderId="22" xfId="0" applyNumberFormat="1" applyFill="1" applyBorder="1" applyAlignment="1">
      <alignment horizontal="center"/>
    </xf>
    <xf numFmtId="165" fontId="2" fillId="11" borderId="22" xfId="0" applyNumberFormat="1" applyFont="1" applyFill="1" applyBorder="1" applyAlignment="1">
      <alignment horizontal="center"/>
    </xf>
    <xf numFmtId="0" fontId="2" fillId="13" borderId="16" xfId="0" applyFont="1" applyFill="1" applyBorder="1" applyAlignment="1">
      <alignment horizontal="center"/>
    </xf>
    <xf numFmtId="0" fontId="0" fillId="13" borderId="18" xfId="0" applyFill="1" applyBorder="1" applyAlignment="1">
      <alignment horizontal="center"/>
    </xf>
    <xf numFmtId="165" fontId="2" fillId="13" borderId="18" xfId="0" applyNumberFormat="1" applyFont="1" applyFill="1" applyBorder="1" applyAlignment="1">
      <alignment horizontal="center"/>
    </xf>
    <xf numFmtId="165" fontId="0" fillId="13" borderId="18" xfId="0" applyNumberFormat="1" applyFill="1" applyBorder="1" applyAlignment="1">
      <alignment horizontal="center"/>
    </xf>
    <xf numFmtId="165" fontId="0" fillId="11" borderId="22" xfId="0" applyNumberFormat="1" applyFont="1" applyFill="1" applyBorder="1" applyAlignment="1">
      <alignment horizontal="center"/>
    </xf>
    <xf numFmtId="165" fontId="0" fillId="13" borderId="18" xfId="0" applyNumberFormat="1" applyFont="1" applyFill="1" applyBorder="1" applyAlignment="1">
      <alignment horizontal="center"/>
    </xf>
    <xf numFmtId="165" fontId="8" fillId="12" borderId="19" xfId="0" applyNumberFormat="1" applyFont="1" applyFill="1" applyBorder="1" applyAlignment="1">
      <alignment horizontal="center"/>
    </xf>
    <xf numFmtId="165" fontId="2" fillId="11" borderId="23" xfId="0" applyNumberFormat="1" applyFont="1" applyFill="1" applyBorder="1" applyAlignment="1">
      <alignment horizontal="center"/>
    </xf>
    <xf numFmtId="165" fontId="2" fillId="13" borderId="20" xfId="0" applyNumberFormat="1" applyFont="1" applyFill="1" applyBorder="1" applyAlignment="1">
      <alignment horizontal="center"/>
    </xf>
    <xf numFmtId="164" fontId="0" fillId="0" borderId="5" xfId="0" applyNumberFormat="1" applyFont="1" applyFill="1" applyBorder="1" applyAlignment="1">
      <alignment horizontal="right" indent="2"/>
    </xf>
    <xf numFmtId="164" fontId="0" fillId="0" borderId="5" xfId="0" applyNumberFormat="1" applyFill="1" applyBorder="1" applyAlignment="1">
      <alignment horizontal="right" indent="2"/>
    </xf>
    <xf numFmtId="164" fontId="0" fillId="0" borderId="5" xfId="0" applyNumberFormat="1" applyBorder="1" applyAlignment="1">
      <alignment horizontal="right" indent="2"/>
    </xf>
    <xf numFmtId="164" fontId="0" fillId="0" borderId="5" xfId="1" applyNumberFormat="1" applyFont="1" applyBorder="1" applyAlignment="1">
      <alignment horizontal="right" indent="2"/>
    </xf>
    <xf numFmtId="164" fontId="0" fillId="0" borderId="7" xfId="0" applyNumberFormat="1" applyBorder="1" applyAlignment="1">
      <alignment horizontal="right" indent="2"/>
    </xf>
    <xf numFmtId="0" fontId="10" fillId="8" borderId="1" xfId="0" applyFont="1" applyFill="1" applyBorder="1" applyAlignment="1">
      <alignment horizontal="center"/>
    </xf>
    <xf numFmtId="0" fontId="10" fillId="8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9" fillId="9" borderId="4" xfId="0" applyNumberFormat="1" applyFont="1" applyFill="1" applyBorder="1" applyAlignment="1">
      <alignment horizontal="center"/>
    </xf>
    <xf numFmtId="165" fontId="9" fillId="9" borderId="5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165" fontId="2" fillId="0" borderId="6" xfId="1" applyNumberFormat="1" applyFont="1" applyBorder="1" applyAlignment="1">
      <alignment horizontal="center"/>
    </xf>
    <xf numFmtId="165" fontId="2" fillId="0" borderId="7" xfId="1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left" indent="9"/>
    </xf>
    <xf numFmtId="165" fontId="2" fillId="0" borderId="7" xfId="0" applyNumberFormat="1" applyFont="1" applyBorder="1" applyAlignment="1">
      <alignment horizontal="left" indent="9"/>
    </xf>
    <xf numFmtId="0" fontId="17" fillId="2" borderId="8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/>
    </xf>
    <xf numFmtId="9" fontId="9" fillId="9" borderId="4" xfId="2" applyFont="1" applyFill="1" applyBorder="1" applyAlignment="1">
      <alignment horizontal="center"/>
    </xf>
    <xf numFmtId="9" fontId="9" fillId="9" borderId="5" xfId="2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9999FF"/>
      <color rgb="FFCCCCFF"/>
      <color rgb="FFCC99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769936</xdr:colOff>
      <xdr:row>0</xdr:row>
      <xdr:rowOff>127000</xdr:rowOff>
    </xdr:from>
    <xdr:to>
      <xdr:col>2</xdr:col>
      <xdr:colOff>1050924</xdr:colOff>
      <xdr:row>7</xdr:row>
      <xdr:rowOff>34390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99C58B-6EE2-85AF-D877-9A14849F7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9" y="127000"/>
          <a:ext cx="2170113" cy="130439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157162</xdr:colOff>
      <xdr:row>9</xdr:row>
      <xdr:rowOff>134937</xdr:rowOff>
    </xdr:from>
    <xdr:to>
      <xdr:col>4</xdr:col>
      <xdr:colOff>757237</xdr:colOff>
      <xdr:row>11</xdr:row>
      <xdr:rowOff>30162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0EBBA10E-6A23-4B61-421D-C8D57660CF31}"/>
            </a:ext>
          </a:extLst>
        </xdr:cNvPr>
        <xdr:cNvSpPr/>
      </xdr:nvSpPr>
      <xdr:spPr>
        <a:xfrm>
          <a:off x="4689475" y="1881187"/>
          <a:ext cx="600075" cy="331788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131762</xdr:colOff>
      <xdr:row>9</xdr:row>
      <xdr:rowOff>168276</xdr:rowOff>
    </xdr:from>
    <xdr:to>
      <xdr:col>7</xdr:col>
      <xdr:colOff>757237</xdr:colOff>
      <xdr:row>11</xdr:row>
      <xdr:rowOff>47625</xdr:rowOff>
    </xdr:to>
    <xdr:sp macro="" textlink="">
      <xdr:nvSpPr>
        <xdr:cNvPr id="4" name="Arrow: Right 3">
          <a:extLst>
            <a:ext uri="{FF2B5EF4-FFF2-40B4-BE49-F238E27FC236}">
              <a16:creationId xmlns:a16="http://schemas.microsoft.com/office/drawing/2014/main" id="{435F8E7E-4335-4305-80C3-324409B39097}"/>
            </a:ext>
          </a:extLst>
        </xdr:cNvPr>
        <xdr:cNvSpPr/>
      </xdr:nvSpPr>
      <xdr:spPr>
        <a:xfrm>
          <a:off x="8029575" y="1914526"/>
          <a:ext cx="625475" cy="31591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108743</xdr:colOff>
      <xdr:row>9</xdr:row>
      <xdr:rowOff>153196</xdr:rowOff>
    </xdr:from>
    <xdr:to>
      <xdr:col>10</xdr:col>
      <xdr:colOff>792163</xdr:colOff>
      <xdr:row>11</xdr:row>
      <xdr:rowOff>63500</xdr:rowOff>
    </xdr:to>
    <xdr:sp macro="" textlink="">
      <xdr:nvSpPr>
        <xdr:cNvPr id="5" name="Arrow: Right 4">
          <a:extLst>
            <a:ext uri="{FF2B5EF4-FFF2-40B4-BE49-F238E27FC236}">
              <a16:creationId xmlns:a16="http://schemas.microsoft.com/office/drawing/2014/main" id="{F5AABDD6-B987-491C-B96D-63E3ECC5866E}"/>
            </a:ext>
          </a:extLst>
        </xdr:cNvPr>
        <xdr:cNvSpPr/>
      </xdr:nvSpPr>
      <xdr:spPr>
        <a:xfrm>
          <a:off x="11213306" y="1899446"/>
          <a:ext cx="683420" cy="346867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88901</xdr:colOff>
      <xdr:row>9</xdr:row>
      <xdr:rowOff>150812</xdr:rowOff>
    </xdr:from>
    <xdr:to>
      <xdr:col>13</xdr:col>
      <xdr:colOff>777875</xdr:colOff>
      <xdr:row>11</xdr:row>
      <xdr:rowOff>55562</xdr:rowOff>
    </xdr:to>
    <xdr:sp macro="" textlink="">
      <xdr:nvSpPr>
        <xdr:cNvPr id="6" name="Arrow: Right 5">
          <a:extLst>
            <a:ext uri="{FF2B5EF4-FFF2-40B4-BE49-F238E27FC236}">
              <a16:creationId xmlns:a16="http://schemas.microsoft.com/office/drawing/2014/main" id="{208343AA-B6D8-4246-AC75-938EB8CFB672}"/>
            </a:ext>
          </a:extLst>
        </xdr:cNvPr>
        <xdr:cNvSpPr/>
      </xdr:nvSpPr>
      <xdr:spPr>
        <a:xfrm>
          <a:off x="14185901" y="1897062"/>
          <a:ext cx="688974" cy="341313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47625</xdr:colOff>
      <xdr:row>9</xdr:row>
      <xdr:rowOff>142875</xdr:rowOff>
    </xdr:from>
    <xdr:to>
      <xdr:col>16</xdr:col>
      <xdr:colOff>736599</xdr:colOff>
      <xdr:row>11</xdr:row>
      <xdr:rowOff>47625</xdr:rowOff>
    </xdr:to>
    <xdr:sp macro="" textlink="">
      <xdr:nvSpPr>
        <xdr:cNvPr id="10" name="Arrow: Right 9">
          <a:extLst>
            <a:ext uri="{FF2B5EF4-FFF2-40B4-BE49-F238E27FC236}">
              <a16:creationId xmlns:a16="http://schemas.microsoft.com/office/drawing/2014/main" id="{11F3B60B-75C9-46B5-8DFD-3623620132D2}"/>
            </a:ext>
          </a:extLst>
        </xdr:cNvPr>
        <xdr:cNvSpPr/>
      </xdr:nvSpPr>
      <xdr:spPr>
        <a:xfrm>
          <a:off x="18585656" y="2000250"/>
          <a:ext cx="688974" cy="33337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26FC6-8956-4286-B6EF-A5DD59569A84}">
  <sheetPr>
    <pageSetUpPr fitToPage="1"/>
  </sheetPr>
  <dimension ref="B3:T56"/>
  <sheetViews>
    <sheetView tabSelected="1" topLeftCell="A4" zoomScale="80" zoomScaleNormal="80" workbookViewId="0">
      <selection activeCell="U32" sqref="U32"/>
    </sheetView>
  </sheetViews>
  <sheetFormatPr defaultRowHeight="15" x14ac:dyDescent="0.25"/>
  <cols>
    <col min="1" max="1" width="4.140625" customWidth="1"/>
    <col min="2" max="2" width="28.28515625" customWidth="1"/>
    <col min="3" max="3" width="19.140625" customWidth="1"/>
    <col min="4" max="4" width="18.85546875" customWidth="1"/>
    <col min="5" max="5" width="13.42578125" customWidth="1"/>
    <col min="6" max="6" width="22.28515625" customWidth="1"/>
    <col min="7" max="7" width="13.85546875" customWidth="1"/>
    <col min="8" max="8" width="16.140625" bestFit="1" customWidth="1"/>
    <col min="9" max="9" width="21.7109375" customWidth="1"/>
    <col min="10" max="10" width="17.7109375" customWidth="1"/>
    <col min="11" max="11" width="16.140625" bestFit="1" customWidth="1"/>
    <col min="12" max="12" width="16.140625" customWidth="1"/>
    <col min="13" max="13" width="15.5703125" customWidth="1"/>
    <col min="14" max="14" width="16.140625" bestFit="1" customWidth="1"/>
    <col min="15" max="15" width="18.7109375" bestFit="1" customWidth="1"/>
    <col min="16" max="16" width="21.28515625" bestFit="1" customWidth="1"/>
    <col min="17" max="17" width="11.85546875" customWidth="1"/>
    <col min="18" max="18" width="21.7109375" bestFit="1" customWidth="1"/>
    <col min="19" max="19" width="21.7109375" customWidth="1"/>
    <col min="20" max="20" width="18.85546875" customWidth="1"/>
    <col min="21" max="21" width="19.7109375" customWidth="1"/>
    <col min="22" max="22" width="25.85546875" customWidth="1"/>
  </cols>
  <sheetData>
    <row r="3" spans="2:20" x14ac:dyDescent="0.25">
      <c r="I3" s="15" t="s">
        <v>18</v>
      </c>
      <c r="J3" s="14" t="s">
        <v>30</v>
      </c>
    </row>
    <row r="4" spans="2:20" ht="18.75" x14ac:dyDescent="0.3">
      <c r="D4" s="74" t="s">
        <v>38</v>
      </c>
      <c r="E4" s="74"/>
      <c r="I4" s="15" t="s">
        <v>16</v>
      </c>
      <c r="J4" s="70" t="s">
        <v>4</v>
      </c>
    </row>
    <row r="5" spans="2:20" x14ac:dyDescent="0.25">
      <c r="I5" s="15" t="s">
        <v>17</v>
      </c>
      <c r="J5" s="71" t="s">
        <v>99</v>
      </c>
    </row>
    <row r="6" spans="2:20" ht="15.75" thickBot="1" x14ac:dyDescent="0.3"/>
    <row r="7" spans="2:20" ht="15.75" thickBot="1" x14ac:dyDescent="0.3">
      <c r="O7" s="167" t="s">
        <v>28</v>
      </c>
      <c r="P7" s="168"/>
      <c r="R7" s="164" t="s">
        <v>68</v>
      </c>
      <c r="S7" s="165"/>
      <c r="T7" s="166"/>
    </row>
    <row r="8" spans="2:20" x14ac:dyDescent="0.25">
      <c r="B8" s="65" t="s">
        <v>25</v>
      </c>
      <c r="C8" s="72" t="s">
        <v>12</v>
      </c>
      <c r="D8" s="73" t="s">
        <v>76</v>
      </c>
      <c r="F8" s="150" t="s">
        <v>26</v>
      </c>
      <c r="G8" s="151"/>
      <c r="I8" s="156" t="s">
        <v>48</v>
      </c>
      <c r="J8" s="157"/>
      <c r="L8" s="158" t="s">
        <v>96</v>
      </c>
      <c r="M8" s="159"/>
      <c r="O8" s="152" t="s">
        <v>100</v>
      </c>
      <c r="P8" s="153"/>
      <c r="R8" s="126" t="s">
        <v>60</v>
      </c>
      <c r="S8" s="130" t="s">
        <v>98</v>
      </c>
      <c r="T8" s="136" t="s">
        <v>62</v>
      </c>
    </row>
    <row r="9" spans="2:20" ht="19.5" thickBot="1" x14ac:dyDescent="0.35">
      <c r="B9" s="1" t="s">
        <v>86</v>
      </c>
      <c r="C9" s="16" t="s">
        <v>7</v>
      </c>
      <c r="D9" s="17" t="s">
        <v>7</v>
      </c>
      <c r="F9" s="1" t="s">
        <v>78</v>
      </c>
      <c r="G9" s="39">
        <v>2250000</v>
      </c>
      <c r="I9" s="81" t="s">
        <v>46</v>
      </c>
      <c r="J9" s="145">
        <v>2250000</v>
      </c>
      <c r="L9" s="160">
        <v>332000</v>
      </c>
      <c r="M9" s="161"/>
      <c r="O9" s="154">
        <f>R31+R45</f>
        <v>6283515.5708565395</v>
      </c>
      <c r="P9" s="155"/>
      <c r="R9" s="127" t="s">
        <v>56</v>
      </c>
      <c r="S9" s="131" t="s">
        <v>56</v>
      </c>
      <c r="T9" s="137" t="s">
        <v>56</v>
      </c>
    </row>
    <row r="10" spans="2:20" ht="15.75" thickBot="1" x14ac:dyDescent="0.3">
      <c r="B10" s="1" t="s">
        <v>87</v>
      </c>
      <c r="C10" s="16" t="s">
        <v>14</v>
      </c>
      <c r="D10" s="17" t="s">
        <v>13</v>
      </c>
      <c r="F10" s="1" t="s">
        <v>79</v>
      </c>
      <c r="G10" s="22">
        <v>13528429</v>
      </c>
      <c r="I10" s="1" t="s">
        <v>36</v>
      </c>
      <c r="J10" s="146">
        <f>G9*0.35</f>
        <v>787500</v>
      </c>
      <c r="O10" s="152" t="s">
        <v>39</v>
      </c>
      <c r="P10" s="153"/>
      <c r="R10" s="128">
        <f>(C17*C13)+(D17*D13)</f>
        <v>11000.82755726233</v>
      </c>
      <c r="S10" s="132">
        <f>AVERAGE(C35:N35)+AVERAGE(C38:N38)+AVERAGE(C41:N41:N41)</f>
        <v>102446.35181415486</v>
      </c>
      <c r="T10" s="138">
        <f>J14*C13</f>
        <v>226573.53139892215</v>
      </c>
    </row>
    <row r="11" spans="2:20" ht="18.75" x14ac:dyDescent="0.3">
      <c r="B11" s="1" t="s">
        <v>88</v>
      </c>
      <c r="C11" s="16">
        <v>8.19</v>
      </c>
      <c r="D11" s="17">
        <v>1.8</v>
      </c>
      <c r="F11" s="1" t="s">
        <v>80</v>
      </c>
      <c r="G11" s="22">
        <v>3723880</v>
      </c>
      <c r="I11" s="40" t="s">
        <v>41</v>
      </c>
      <c r="J11" s="147">
        <f>J10*C12/1000</f>
        <v>64459.289475000005</v>
      </c>
      <c r="L11" s="171" t="s">
        <v>27</v>
      </c>
      <c r="M11" s="172"/>
      <c r="O11" s="169">
        <f>P13/O13</f>
        <v>0.68881119779424016</v>
      </c>
      <c r="P11" s="170"/>
      <c r="R11" s="129" t="s">
        <v>57</v>
      </c>
      <c r="S11" s="133" t="s">
        <v>57</v>
      </c>
      <c r="T11" s="139" t="s">
        <v>57</v>
      </c>
    </row>
    <row r="12" spans="2:20" x14ac:dyDescent="0.25">
      <c r="B12" s="1" t="s">
        <v>89</v>
      </c>
      <c r="C12" s="18">
        <v>81.853065999999998</v>
      </c>
      <c r="D12" s="19">
        <v>83.831187</v>
      </c>
      <c r="F12" s="1" t="s">
        <v>81</v>
      </c>
      <c r="G12" s="23" t="s">
        <v>10</v>
      </c>
      <c r="H12" s="66"/>
      <c r="I12" s="1" t="s">
        <v>71</v>
      </c>
      <c r="J12" s="146">
        <f>G10</f>
        <v>13528429</v>
      </c>
      <c r="L12" s="75" t="s">
        <v>6</v>
      </c>
      <c r="M12" s="82" t="s">
        <v>5</v>
      </c>
      <c r="O12" s="85" t="s">
        <v>22</v>
      </c>
      <c r="P12" s="86" t="s">
        <v>23</v>
      </c>
      <c r="R12" s="128">
        <f>(C17*C14)+(D17*D14)</f>
        <v>405.72150478165264</v>
      </c>
      <c r="S12" s="132">
        <f>AVERAGE(C36:N36)+AVERAGE(C42:N42:N42)</f>
        <v>20731.484767837919</v>
      </c>
      <c r="T12" s="138">
        <f>J16+N36</f>
        <v>52794.489860552501</v>
      </c>
    </row>
    <row r="13" spans="2:20" ht="19.5" thickBot="1" x14ac:dyDescent="0.35">
      <c r="B13" s="76" t="s">
        <v>90</v>
      </c>
      <c r="C13" s="77">
        <v>0.58460000000000001</v>
      </c>
      <c r="D13" s="78">
        <v>0.57079999999999997</v>
      </c>
      <c r="F13" s="1" t="s">
        <v>82</v>
      </c>
      <c r="G13" s="24">
        <v>140916</v>
      </c>
      <c r="I13" s="40" t="s">
        <v>72</v>
      </c>
      <c r="J13" s="147">
        <f>J12*0.35</f>
        <v>4734950.1499999994</v>
      </c>
      <c r="K13" s="33"/>
      <c r="L13" s="83">
        <v>12</v>
      </c>
      <c r="M13" s="84">
        <v>0.8</v>
      </c>
      <c r="O13" s="94">
        <f>R31</f>
        <v>3720673.7964927354</v>
      </c>
      <c r="P13" s="93">
        <f>R45</f>
        <v>2562841.7743638041</v>
      </c>
      <c r="R13" s="129" t="s">
        <v>61</v>
      </c>
      <c r="S13" s="134" t="s">
        <v>61</v>
      </c>
      <c r="T13" s="139" t="s">
        <v>61</v>
      </c>
    </row>
    <row r="14" spans="2:20" ht="15.75" thickBot="1" x14ac:dyDescent="0.3">
      <c r="B14" s="76" t="s">
        <v>91</v>
      </c>
      <c r="C14" s="77">
        <v>1.9900000000000001E-2</v>
      </c>
      <c r="D14" s="78">
        <v>2.86E-2</v>
      </c>
      <c r="F14" s="1" t="s">
        <v>83</v>
      </c>
      <c r="G14" s="25">
        <v>37</v>
      </c>
      <c r="I14" s="40" t="s">
        <v>40</v>
      </c>
      <c r="J14" s="147">
        <f>$J$13*$C$12/1000</f>
        <v>387570.18713465985</v>
      </c>
      <c r="K14" s="32"/>
      <c r="O14" s="96"/>
      <c r="P14" s="99" t="s">
        <v>58</v>
      </c>
      <c r="R14" s="128">
        <v>0</v>
      </c>
      <c r="S14" s="135">
        <f>AVERAGE(C43:N43:N43)</f>
        <v>32199.331147147521</v>
      </c>
      <c r="T14" s="138">
        <f>J14-(J14*C13)</f>
        <v>160996.6557357377</v>
      </c>
    </row>
    <row r="15" spans="2:20" x14ac:dyDescent="0.25">
      <c r="B15" s="1" t="s">
        <v>92</v>
      </c>
      <c r="C15" s="20">
        <v>540700</v>
      </c>
      <c r="D15" s="21" t="s">
        <v>95</v>
      </c>
      <c r="F15" s="1" t="s">
        <v>84</v>
      </c>
      <c r="G15" s="25">
        <v>7</v>
      </c>
      <c r="H15" s="11"/>
      <c r="I15" s="1" t="s">
        <v>50</v>
      </c>
      <c r="J15" s="148">
        <v>2060470</v>
      </c>
      <c r="K15" s="32"/>
      <c r="L15" s="158" t="s">
        <v>97</v>
      </c>
      <c r="M15" s="159"/>
      <c r="O15" s="96"/>
      <c r="P15" s="95">
        <f>R35+R38+R41</f>
        <v>1229356.2217698582</v>
      </c>
      <c r="R15" s="129" t="s">
        <v>22</v>
      </c>
      <c r="S15" s="140" t="s">
        <v>22</v>
      </c>
      <c r="T15" s="141" t="s">
        <v>22</v>
      </c>
    </row>
    <row r="16" spans="2:20" ht="15.75" thickBot="1" x14ac:dyDescent="0.3">
      <c r="B16" s="1" t="s">
        <v>93</v>
      </c>
      <c r="C16" s="20">
        <f>C15*0.35</f>
        <v>189245</v>
      </c>
      <c r="D16" s="21" t="s">
        <v>95</v>
      </c>
      <c r="F16" s="2" t="s">
        <v>85</v>
      </c>
      <c r="G16" s="92">
        <f>J15/G14</f>
        <v>55688.37837837838</v>
      </c>
      <c r="H16" s="11"/>
      <c r="I16" s="44" t="s">
        <v>37</v>
      </c>
      <c r="J16" s="149">
        <f>J15*0.025</f>
        <v>51511.75</v>
      </c>
      <c r="K16" s="32"/>
      <c r="L16" s="162">
        <f>C28</f>
        <v>310056.14970772789</v>
      </c>
      <c r="M16" s="163"/>
      <c r="O16" s="96"/>
      <c r="P16" s="99" t="s">
        <v>59</v>
      </c>
      <c r="R16" s="142">
        <v>0</v>
      </c>
      <c r="S16" s="143">
        <f>N28</f>
        <v>310056.14970772789</v>
      </c>
      <c r="T16" s="144">
        <v>0</v>
      </c>
    </row>
    <row r="17" spans="2:20" ht="15.75" thickBot="1" x14ac:dyDescent="0.3">
      <c r="B17" s="2" t="s">
        <v>94</v>
      </c>
      <c r="C17" s="47">
        <f>C16*C12/1000</f>
        <v>15490.283475169999</v>
      </c>
      <c r="D17" s="111">
        <f>C17*0.22</f>
        <v>3407.8623645374</v>
      </c>
      <c r="O17" s="97"/>
      <c r="P17" s="98">
        <f>R42+R43</f>
        <v>619776.91265319521</v>
      </c>
    </row>
    <row r="18" spans="2:20" ht="15.75" thickBot="1" x14ac:dyDescent="0.3"/>
    <row r="19" spans="2:20" ht="15.75" thickBot="1" x14ac:dyDescent="0.3">
      <c r="B19" s="64" t="s">
        <v>24</v>
      </c>
      <c r="C19" s="52">
        <v>2026</v>
      </c>
      <c r="D19" s="59">
        <v>2027</v>
      </c>
      <c r="E19" s="52">
        <v>2028</v>
      </c>
      <c r="F19" s="52">
        <v>2029</v>
      </c>
      <c r="G19" s="52">
        <v>2030</v>
      </c>
      <c r="H19" s="52">
        <v>2031</v>
      </c>
      <c r="I19" s="52">
        <v>2032</v>
      </c>
      <c r="J19" s="52">
        <v>2033</v>
      </c>
      <c r="K19" s="52">
        <v>2034</v>
      </c>
      <c r="L19" s="52">
        <v>2035</v>
      </c>
      <c r="M19" s="60">
        <v>2036</v>
      </c>
      <c r="N19" s="60">
        <v>2037</v>
      </c>
      <c r="O19" s="60"/>
      <c r="P19" s="60"/>
      <c r="Q19" s="60"/>
      <c r="R19" s="61"/>
      <c r="S19" s="11"/>
    </row>
    <row r="20" spans="2:20" x14ac:dyDescent="0.25">
      <c r="B20" s="87" t="s">
        <v>15</v>
      </c>
      <c r="C20" s="88">
        <v>1</v>
      </c>
      <c r="D20" s="88">
        <v>2</v>
      </c>
      <c r="E20" s="88">
        <v>3</v>
      </c>
      <c r="F20" s="88">
        <v>4</v>
      </c>
      <c r="G20" s="88">
        <v>5</v>
      </c>
      <c r="H20" s="88">
        <v>6</v>
      </c>
      <c r="I20" s="89">
        <v>7</v>
      </c>
      <c r="J20" s="88">
        <v>8</v>
      </c>
      <c r="K20" s="88">
        <v>9</v>
      </c>
      <c r="L20" s="88">
        <v>10</v>
      </c>
      <c r="M20" s="88">
        <v>11</v>
      </c>
      <c r="N20" s="90">
        <v>12</v>
      </c>
      <c r="O20" s="90">
        <v>13</v>
      </c>
      <c r="P20" s="90">
        <v>14</v>
      </c>
      <c r="Q20" s="90">
        <v>15</v>
      </c>
      <c r="R20" s="91" t="s">
        <v>2</v>
      </c>
      <c r="S20" s="122"/>
    </row>
    <row r="21" spans="2:20" x14ac:dyDescent="0.25">
      <c r="B21" s="40" t="s">
        <v>31</v>
      </c>
      <c r="C21" s="31">
        <v>0</v>
      </c>
      <c r="D21" s="31">
        <v>30</v>
      </c>
      <c r="E21" s="31">
        <v>31</v>
      </c>
      <c r="F21" s="31">
        <v>32</v>
      </c>
      <c r="G21" s="31">
        <v>33</v>
      </c>
      <c r="H21" s="31">
        <v>34</v>
      </c>
      <c r="I21" s="31">
        <v>35</v>
      </c>
      <c r="J21" s="31">
        <v>36</v>
      </c>
      <c r="K21" s="31">
        <v>37</v>
      </c>
      <c r="L21" s="31">
        <v>37</v>
      </c>
      <c r="M21" s="31">
        <v>37</v>
      </c>
      <c r="N21" s="31">
        <v>37</v>
      </c>
      <c r="O21" s="31">
        <v>0</v>
      </c>
      <c r="P21" s="31">
        <v>0</v>
      </c>
      <c r="Q21" s="31">
        <v>0</v>
      </c>
      <c r="R21" s="41">
        <v>37</v>
      </c>
      <c r="S21" s="114"/>
    </row>
    <row r="22" spans="2:20" s="34" customFormat="1" x14ac:dyDescent="0.25">
      <c r="B22" s="42" t="s">
        <v>32</v>
      </c>
      <c r="C22" s="104">
        <v>0</v>
      </c>
      <c r="D22" s="112">
        <v>1258320</v>
      </c>
      <c r="E22" s="113">
        <v>1347570</v>
      </c>
      <c r="F22" s="113">
        <v>1439497</v>
      </c>
      <c r="G22" s="113">
        <v>1534182</v>
      </c>
      <c r="H22" s="113">
        <v>1634707</v>
      </c>
      <c r="I22" s="113">
        <v>1732158</v>
      </c>
      <c r="J22" s="113">
        <v>1835622</v>
      </c>
      <c r="K22" s="113">
        <f>J22+50000</f>
        <v>1885622</v>
      </c>
      <c r="L22" s="113">
        <f>K22*0.03+K22</f>
        <v>1942190.66</v>
      </c>
      <c r="M22" s="113">
        <f t="shared" ref="M22" si="0">L22*0.03+L22</f>
        <v>2000456.3798</v>
      </c>
      <c r="N22" s="113">
        <f>M22*0.03+M22</f>
        <v>2060470.0711940001</v>
      </c>
      <c r="O22" s="105">
        <v>0</v>
      </c>
      <c r="P22" s="105">
        <v>0</v>
      </c>
      <c r="Q22" s="105">
        <v>0</v>
      </c>
      <c r="R22" s="67">
        <f>SUM(C22:N22)</f>
        <v>18670795.110994</v>
      </c>
      <c r="S22" s="115"/>
    </row>
    <row r="23" spans="2:20" x14ac:dyDescent="0.25">
      <c r="B23" s="40" t="s">
        <v>1</v>
      </c>
      <c r="C23" s="62">
        <f>C22*1.5%</f>
        <v>0</v>
      </c>
      <c r="D23" s="62">
        <f>D22*1.5%</f>
        <v>18874.8</v>
      </c>
      <c r="E23" s="62">
        <f>E22*1.5%</f>
        <v>20213.55</v>
      </c>
      <c r="F23" s="62">
        <f t="shared" ref="F23:N23" si="1">F22*1.5%</f>
        <v>21592.454999999998</v>
      </c>
      <c r="G23" s="62">
        <f t="shared" si="1"/>
        <v>23012.73</v>
      </c>
      <c r="H23" s="62">
        <f t="shared" si="1"/>
        <v>24520.605</v>
      </c>
      <c r="I23" s="62">
        <f>I22*1.5%</f>
        <v>25982.37</v>
      </c>
      <c r="J23" s="62">
        <f>J22*1.5%</f>
        <v>27534.329999999998</v>
      </c>
      <c r="K23" s="62">
        <f t="shared" si="1"/>
        <v>28284.329999999998</v>
      </c>
      <c r="L23" s="62">
        <f t="shared" si="1"/>
        <v>29132.859899999999</v>
      </c>
      <c r="M23" s="62">
        <f t="shared" si="1"/>
        <v>30006.845696999997</v>
      </c>
      <c r="N23" s="62">
        <f t="shared" si="1"/>
        <v>30907.051067910001</v>
      </c>
      <c r="O23" s="62">
        <v>0</v>
      </c>
      <c r="P23" s="62">
        <v>0</v>
      </c>
      <c r="Q23" s="62">
        <v>0</v>
      </c>
      <c r="R23" s="43">
        <f>SUM(C23:N23)</f>
        <v>280061.92666490993</v>
      </c>
      <c r="S23" s="116"/>
    </row>
    <row r="24" spans="2:20" ht="15.75" thickBot="1" x14ac:dyDescent="0.3">
      <c r="B24" s="44" t="s">
        <v>0</v>
      </c>
      <c r="C24" s="106">
        <f>C22*1%</f>
        <v>0</v>
      </c>
      <c r="D24" s="106">
        <f>D22*1%</f>
        <v>12583.2</v>
      </c>
      <c r="E24" s="106">
        <f t="shared" ref="E24" si="2">E22*1%</f>
        <v>13475.7</v>
      </c>
      <c r="F24" s="106">
        <f t="shared" ref="F24:N24" si="3">F22*1%</f>
        <v>14394.970000000001</v>
      </c>
      <c r="G24" s="106">
        <f t="shared" si="3"/>
        <v>15341.82</v>
      </c>
      <c r="H24" s="106">
        <f t="shared" si="3"/>
        <v>16347.07</v>
      </c>
      <c r="I24" s="106">
        <f t="shared" si="3"/>
        <v>17321.580000000002</v>
      </c>
      <c r="J24" s="106">
        <f t="shared" si="3"/>
        <v>18356.22</v>
      </c>
      <c r="K24" s="106">
        <f t="shared" si="3"/>
        <v>18856.22</v>
      </c>
      <c r="L24" s="106">
        <f t="shared" si="3"/>
        <v>19421.906599999998</v>
      </c>
      <c r="M24" s="106">
        <f t="shared" si="3"/>
        <v>20004.563797999999</v>
      </c>
      <c r="N24" s="106">
        <f t="shared" si="3"/>
        <v>20604.70071194</v>
      </c>
      <c r="O24" s="106">
        <v>0</v>
      </c>
      <c r="P24" s="106">
        <v>0</v>
      </c>
      <c r="Q24" s="106">
        <v>0</v>
      </c>
      <c r="R24" s="43">
        <f>SUM(C24:N24)</f>
        <v>186707.95110994001</v>
      </c>
      <c r="S24" s="116"/>
      <c r="T24" s="13"/>
    </row>
    <row r="25" spans="2:20" s="8" customFormat="1" x14ac:dyDescent="0.25">
      <c r="B25" s="45" t="s">
        <v>3</v>
      </c>
      <c r="C25" s="46">
        <f>SUM(C23:C24)</f>
        <v>0</v>
      </c>
      <c r="D25" s="46">
        <f>SUM(D23:D24)</f>
        <v>31458</v>
      </c>
      <c r="E25" s="46">
        <f t="shared" ref="E25" si="4">SUM(E23:E24)</f>
        <v>33689.25</v>
      </c>
      <c r="F25" s="46">
        <f t="shared" ref="F25:N25" si="5">SUM(F23:F24)</f>
        <v>35987.425000000003</v>
      </c>
      <c r="G25" s="46">
        <f t="shared" si="5"/>
        <v>38354.550000000003</v>
      </c>
      <c r="H25" s="46">
        <f t="shared" si="5"/>
        <v>40867.675000000003</v>
      </c>
      <c r="I25" s="46">
        <f t="shared" si="5"/>
        <v>43303.95</v>
      </c>
      <c r="J25" s="46">
        <f t="shared" si="5"/>
        <v>45890.55</v>
      </c>
      <c r="K25" s="46">
        <f t="shared" si="5"/>
        <v>47140.55</v>
      </c>
      <c r="L25" s="46">
        <f t="shared" si="5"/>
        <v>48554.766499999998</v>
      </c>
      <c r="M25" s="46">
        <f t="shared" si="5"/>
        <v>50011.409495</v>
      </c>
      <c r="N25" s="46">
        <f t="shared" si="5"/>
        <v>51511.751779850005</v>
      </c>
      <c r="O25" s="46">
        <f>SUM(O24:O24)</f>
        <v>0</v>
      </c>
      <c r="P25" s="46">
        <f>SUM(P24:P24)</f>
        <v>0</v>
      </c>
      <c r="Q25" s="46">
        <f t="shared" ref="Q25" si="6">SUM(Q24:Q24)</f>
        <v>0</v>
      </c>
      <c r="R25" s="12">
        <f>SUM(C25:N25)</f>
        <v>466769.87777485</v>
      </c>
      <c r="S25" s="123"/>
    </row>
    <row r="26" spans="2:20" ht="15.75" thickBot="1" x14ac:dyDescent="0.3">
      <c r="B26" s="6"/>
      <c r="C26" s="56" t="s">
        <v>55</v>
      </c>
      <c r="D26" s="58"/>
      <c r="E26" s="58"/>
      <c r="F26" s="3"/>
      <c r="G26" s="3"/>
      <c r="H26" s="3"/>
      <c r="I26" s="3"/>
      <c r="J26" s="3"/>
      <c r="K26" s="3"/>
      <c r="L26" s="4"/>
      <c r="M26" s="3"/>
      <c r="N26" s="3"/>
      <c r="O26" s="3"/>
      <c r="P26" s="3"/>
      <c r="Q26" s="3"/>
      <c r="R26" s="7"/>
      <c r="S26" s="7"/>
      <c r="T26" s="5"/>
    </row>
    <row r="27" spans="2:20" x14ac:dyDescent="0.25">
      <c r="B27" s="26" t="s">
        <v>29</v>
      </c>
      <c r="C27" s="27">
        <v>1</v>
      </c>
      <c r="D27" s="27">
        <v>2</v>
      </c>
      <c r="E27" s="27">
        <v>3</v>
      </c>
      <c r="F27" s="27">
        <v>4</v>
      </c>
      <c r="G27" s="27">
        <v>5</v>
      </c>
      <c r="H27" s="27">
        <v>6</v>
      </c>
      <c r="I27" s="27">
        <v>7</v>
      </c>
      <c r="J27" s="27">
        <v>8</v>
      </c>
      <c r="K27" s="27">
        <v>9</v>
      </c>
      <c r="L27" s="27">
        <v>10</v>
      </c>
      <c r="M27" s="27">
        <v>11</v>
      </c>
      <c r="N27" s="27">
        <v>12</v>
      </c>
      <c r="O27" s="27">
        <v>13</v>
      </c>
      <c r="P27" s="27">
        <v>14</v>
      </c>
      <c r="Q27" s="27">
        <v>15</v>
      </c>
      <c r="R27" s="53" t="s">
        <v>2</v>
      </c>
      <c r="S27" s="124"/>
      <c r="T27" s="5"/>
    </row>
    <row r="28" spans="2:20" x14ac:dyDescent="0.25">
      <c r="B28" s="68" t="s">
        <v>70</v>
      </c>
      <c r="C28" s="50">
        <f t="shared" ref="C28:N28" si="7">$J$14*$M$13</f>
        <v>310056.14970772789</v>
      </c>
      <c r="D28" s="50">
        <f t="shared" si="7"/>
        <v>310056.14970772789</v>
      </c>
      <c r="E28" s="50">
        <f t="shared" si="7"/>
        <v>310056.14970772789</v>
      </c>
      <c r="F28" s="50">
        <f t="shared" si="7"/>
        <v>310056.14970772789</v>
      </c>
      <c r="G28" s="50">
        <f t="shared" si="7"/>
        <v>310056.14970772789</v>
      </c>
      <c r="H28" s="50">
        <f t="shared" si="7"/>
        <v>310056.14970772789</v>
      </c>
      <c r="I28" s="50">
        <f t="shared" si="7"/>
        <v>310056.14970772789</v>
      </c>
      <c r="J28" s="50">
        <f t="shared" si="7"/>
        <v>310056.14970772789</v>
      </c>
      <c r="K28" s="50">
        <f t="shared" si="7"/>
        <v>310056.14970772789</v>
      </c>
      <c r="L28" s="50">
        <f t="shared" si="7"/>
        <v>310056.14970772789</v>
      </c>
      <c r="M28" s="50">
        <f t="shared" si="7"/>
        <v>310056.14970772789</v>
      </c>
      <c r="N28" s="50">
        <f t="shared" si="7"/>
        <v>310056.14970772789</v>
      </c>
      <c r="O28" s="50">
        <v>0</v>
      </c>
      <c r="P28" s="50">
        <v>0</v>
      </c>
      <c r="Q28" s="50">
        <v>0</v>
      </c>
      <c r="R28" s="48">
        <f t="shared" ref="R28" si="8">SUM(C28:Q28)</f>
        <v>3720673.7964927354</v>
      </c>
      <c r="S28" s="117"/>
      <c r="T28" s="5"/>
    </row>
    <row r="29" spans="2:20" x14ac:dyDescent="0.25">
      <c r="B29" s="55" t="s">
        <v>20</v>
      </c>
      <c r="C29" s="63">
        <f>C28*0.5846</f>
        <v>181258.82511913773</v>
      </c>
      <c r="D29" s="63">
        <f t="shared" ref="D29:E29" si="9">D28*0.5846</f>
        <v>181258.82511913773</v>
      </c>
      <c r="E29" s="63">
        <f t="shared" si="9"/>
        <v>181258.82511913773</v>
      </c>
      <c r="F29" s="63">
        <f>F28*0.5846</f>
        <v>181258.82511913773</v>
      </c>
      <c r="G29" s="63">
        <f>G28*0.5846</f>
        <v>181258.82511913773</v>
      </c>
      <c r="H29" s="63">
        <f t="shared" ref="H29" si="10">H28*0.5846</f>
        <v>181258.82511913773</v>
      </c>
      <c r="I29" s="63">
        <f t="shared" ref="I29" si="11">I28*0.5846</f>
        <v>181258.82511913773</v>
      </c>
      <c r="J29" s="63">
        <f>J28*0.5846</f>
        <v>181258.82511913773</v>
      </c>
      <c r="K29" s="63">
        <f t="shared" ref="K29" si="12">K28*0.5846</f>
        <v>181258.82511913773</v>
      </c>
      <c r="L29" s="63">
        <f t="shared" ref="L29" si="13">L28*0.5846</f>
        <v>181258.82511913773</v>
      </c>
      <c r="M29" s="63">
        <f t="shared" ref="M29" si="14">M28*0.5846</f>
        <v>181258.82511913773</v>
      </c>
      <c r="N29" s="63">
        <f t="shared" ref="N29:O29" si="15">N28*0.5846</f>
        <v>181258.82511913773</v>
      </c>
      <c r="O29" s="30">
        <f t="shared" si="15"/>
        <v>0</v>
      </c>
      <c r="P29" s="30">
        <f t="shared" ref="P29" si="16">P28*0.5846</f>
        <v>0</v>
      </c>
      <c r="Q29" s="30">
        <f t="shared" ref="Q29" si="17">Q28*0.5846</f>
        <v>0</v>
      </c>
      <c r="R29" s="69">
        <f>R28*0.5846</f>
        <v>2175105.9014296532</v>
      </c>
      <c r="S29" s="30"/>
      <c r="T29" s="5"/>
    </row>
    <row r="30" spans="2:20" ht="15.75" thickBot="1" x14ac:dyDescent="0.3">
      <c r="B30" s="55" t="s">
        <v>21</v>
      </c>
      <c r="C30" s="63">
        <f>C28*0.0199</f>
        <v>6170.1173791837855</v>
      </c>
      <c r="D30" s="63">
        <f t="shared" ref="D30:Q30" si="18">D28*0.0199</f>
        <v>6170.1173791837855</v>
      </c>
      <c r="E30" s="63">
        <f t="shared" si="18"/>
        <v>6170.1173791837855</v>
      </c>
      <c r="F30" s="63">
        <f t="shared" ref="F30:P30" si="19">F28*0.0199</f>
        <v>6170.1173791837855</v>
      </c>
      <c r="G30" s="63">
        <f t="shared" si="19"/>
        <v>6170.1173791837855</v>
      </c>
      <c r="H30" s="63">
        <f t="shared" si="19"/>
        <v>6170.1173791837855</v>
      </c>
      <c r="I30" s="63">
        <f t="shared" si="19"/>
        <v>6170.1173791837855</v>
      </c>
      <c r="J30" s="63">
        <f t="shared" si="19"/>
        <v>6170.1173791837855</v>
      </c>
      <c r="K30" s="63">
        <f t="shared" si="19"/>
        <v>6170.1173791837855</v>
      </c>
      <c r="L30" s="63">
        <f t="shared" si="19"/>
        <v>6170.1173791837855</v>
      </c>
      <c r="M30" s="63">
        <f t="shared" si="19"/>
        <v>6170.1173791837855</v>
      </c>
      <c r="N30" s="63">
        <f t="shared" si="19"/>
        <v>6170.1173791837855</v>
      </c>
      <c r="O30" s="30">
        <f t="shared" si="19"/>
        <v>0</v>
      </c>
      <c r="P30" s="30">
        <f t="shared" si="19"/>
        <v>0</v>
      </c>
      <c r="Q30" s="30">
        <f t="shared" si="18"/>
        <v>0</v>
      </c>
      <c r="R30" s="69">
        <f>R28*0.0199</f>
        <v>74041.408550205437</v>
      </c>
      <c r="S30" s="30"/>
      <c r="T30" s="5"/>
    </row>
    <row r="31" spans="2:20" s="5" customFormat="1" ht="15.75" thickBot="1" x14ac:dyDescent="0.3">
      <c r="B31" s="28" t="s">
        <v>8</v>
      </c>
      <c r="C31" s="29">
        <f>C28</f>
        <v>310056.14970772789</v>
      </c>
      <c r="D31" s="29">
        <f t="shared" ref="D31:Q31" si="20">D28</f>
        <v>310056.14970772789</v>
      </c>
      <c r="E31" s="29">
        <f t="shared" si="20"/>
        <v>310056.14970772789</v>
      </c>
      <c r="F31" s="29">
        <f t="shared" ref="F31:P31" si="21">F28</f>
        <v>310056.14970772789</v>
      </c>
      <c r="G31" s="29">
        <f t="shared" si="21"/>
        <v>310056.14970772789</v>
      </c>
      <c r="H31" s="29">
        <f t="shared" si="21"/>
        <v>310056.14970772789</v>
      </c>
      <c r="I31" s="29">
        <f t="shared" si="21"/>
        <v>310056.14970772789</v>
      </c>
      <c r="J31" s="29">
        <f t="shared" si="21"/>
        <v>310056.14970772789</v>
      </c>
      <c r="K31" s="29">
        <f t="shared" si="21"/>
        <v>310056.14970772789</v>
      </c>
      <c r="L31" s="29">
        <f t="shared" si="21"/>
        <v>310056.14970772789</v>
      </c>
      <c r="M31" s="29">
        <f t="shared" si="21"/>
        <v>310056.14970772789</v>
      </c>
      <c r="N31" s="29">
        <f t="shared" si="21"/>
        <v>310056.14970772789</v>
      </c>
      <c r="O31" s="29">
        <f t="shared" si="21"/>
        <v>0</v>
      </c>
      <c r="P31" s="29">
        <f t="shared" si="21"/>
        <v>0</v>
      </c>
      <c r="Q31" s="29">
        <f t="shared" si="20"/>
        <v>0</v>
      </c>
      <c r="R31" s="49">
        <f>SUM(C31:Q31)</f>
        <v>3720673.7964927354</v>
      </c>
      <c r="S31" s="80"/>
    </row>
    <row r="32" spans="2:20" ht="15.75" thickBot="1" x14ac:dyDescent="0.3">
      <c r="B32" s="9"/>
      <c r="C32" s="10"/>
      <c r="D32" s="10"/>
      <c r="E32" s="10"/>
      <c r="F32" s="10"/>
      <c r="G32" s="10"/>
      <c r="H32" s="10"/>
      <c r="I32" s="3"/>
      <c r="J32" s="3"/>
      <c r="K32" s="3"/>
      <c r="L32" s="3"/>
      <c r="M32" s="3"/>
      <c r="N32" s="3"/>
      <c r="O32" s="3"/>
      <c r="P32" s="3"/>
      <c r="Q32" s="3"/>
      <c r="R32" s="7"/>
      <c r="S32" s="7"/>
      <c r="T32" s="5"/>
    </row>
    <row r="33" spans="2:20" x14ac:dyDescent="0.25">
      <c r="B33" s="35" t="s">
        <v>33</v>
      </c>
      <c r="C33" s="36">
        <v>1</v>
      </c>
      <c r="D33" s="36">
        <v>2</v>
      </c>
      <c r="E33" s="36">
        <v>3</v>
      </c>
      <c r="F33" s="36">
        <v>4</v>
      </c>
      <c r="G33" s="36">
        <v>5</v>
      </c>
      <c r="H33" s="36">
        <v>6</v>
      </c>
      <c r="I33" s="38">
        <v>7</v>
      </c>
      <c r="J33" s="38">
        <v>8</v>
      </c>
      <c r="K33" s="38">
        <v>9</v>
      </c>
      <c r="L33" s="38">
        <v>10</v>
      </c>
      <c r="M33" s="38">
        <v>11</v>
      </c>
      <c r="N33" s="38">
        <v>12</v>
      </c>
      <c r="O33" s="38">
        <v>13</v>
      </c>
      <c r="P33" s="38">
        <v>14</v>
      </c>
      <c r="Q33" s="38">
        <v>15</v>
      </c>
      <c r="R33" s="54" t="s">
        <v>2</v>
      </c>
      <c r="S33" s="125"/>
      <c r="T33" s="5"/>
    </row>
    <row r="34" spans="2:20" x14ac:dyDescent="0.25">
      <c r="B34" s="68" t="s">
        <v>41</v>
      </c>
      <c r="C34" s="110">
        <f t="shared" ref="C34:N34" si="22">$J$11</f>
        <v>64459.289475000005</v>
      </c>
      <c r="D34" s="109">
        <f t="shared" si="22"/>
        <v>64459.289475000005</v>
      </c>
      <c r="E34" s="109">
        <f t="shared" si="22"/>
        <v>64459.289475000005</v>
      </c>
      <c r="F34" s="109">
        <f t="shared" si="22"/>
        <v>64459.289475000005</v>
      </c>
      <c r="G34" s="109">
        <f t="shared" si="22"/>
        <v>64459.289475000005</v>
      </c>
      <c r="H34" s="109">
        <f t="shared" si="22"/>
        <v>64459.289475000005</v>
      </c>
      <c r="I34" s="109">
        <f t="shared" si="22"/>
        <v>64459.289475000005</v>
      </c>
      <c r="J34" s="109">
        <f t="shared" si="22"/>
        <v>64459.289475000005</v>
      </c>
      <c r="K34" s="109">
        <f t="shared" si="22"/>
        <v>64459.289475000005</v>
      </c>
      <c r="L34" s="109">
        <f t="shared" si="22"/>
        <v>64459.289475000005</v>
      </c>
      <c r="M34" s="109">
        <f t="shared" si="22"/>
        <v>64459.289475000005</v>
      </c>
      <c r="N34" s="109">
        <f t="shared" si="22"/>
        <v>64459.289475000005</v>
      </c>
      <c r="O34" s="108">
        <v>0</v>
      </c>
      <c r="P34" s="108">
        <v>0</v>
      </c>
      <c r="Q34" s="108">
        <v>0</v>
      </c>
      <c r="R34" s="101">
        <f>SUM(C34:Q34)</f>
        <v>773511.47370000009</v>
      </c>
      <c r="S34" s="118"/>
    </row>
    <row r="35" spans="2:20" x14ac:dyDescent="0.25">
      <c r="B35" s="76" t="s">
        <v>20</v>
      </c>
      <c r="C35" s="56">
        <f>C34*$C$13</f>
        <v>37682.900627085</v>
      </c>
      <c r="D35" s="56">
        <f>D34*$C$13</f>
        <v>37682.900627085</v>
      </c>
      <c r="E35" s="56">
        <f t="shared" ref="E35:N35" si="23">E34*$C$13</f>
        <v>37682.900627085</v>
      </c>
      <c r="F35" s="56">
        <f t="shared" si="23"/>
        <v>37682.900627085</v>
      </c>
      <c r="G35" s="56">
        <f t="shared" si="23"/>
        <v>37682.900627085</v>
      </c>
      <c r="H35" s="56">
        <f t="shared" si="23"/>
        <v>37682.900627085</v>
      </c>
      <c r="I35" s="56">
        <f>I34*$C$13</f>
        <v>37682.900627085</v>
      </c>
      <c r="J35" s="56">
        <f>J34*$C$13</f>
        <v>37682.900627085</v>
      </c>
      <c r="K35" s="56">
        <f t="shared" si="23"/>
        <v>37682.900627085</v>
      </c>
      <c r="L35" s="56">
        <f t="shared" si="23"/>
        <v>37682.900627085</v>
      </c>
      <c r="M35" s="56">
        <f t="shared" si="23"/>
        <v>37682.900627085</v>
      </c>
      <c r="N35" s="56">
        <f t="shared" si="23"/>
        <v>37682.900627085</v>
      </c>
      <c r="O35" s="100">
        <v>0</v>
      </c>
      <c r="P35" s="100">
        <v>0</v>
      </c>
      <c r="Q35" s="100">
        <v>0</v>
      </c>
      <c r="R35" s="107">
        <f>SUM(C35:Q35)</f>
        <v>452194.80752502003</v>
      </c>
      <c r="S35" s="119"/>
    </row>
    <row r="36" spans="2:20" x14ac:dyDescent="0.25">
      <c r="B36" s="55" t="s">
        <v>53</v>
      </c>
      <c r="C36" s="56">
        <f>$C$34*$C$14</f>
        <v>1282.7398605525002</v>
      </c>
      <c r="D36" s="56">
        <f>$C$34*$C$14</f>
        <v>1282.7398605525002</v>
      </c>
      <c r="E36" s="56">
        <f t="shared" ref="E36:N36" si="24">$C$34*$C$14</f>
        <v>1282.7398605525002</v>
      </c>
      <c r="F36" s="56">
        <f t="shared" si="24"/>
        <v>1282.7398605525002</v>
      </c>
      <c r="G36" s="56">
        <f t="shared" si="24"/>
        <v>1282.7398605525002</v>
      </c>
      <c r="H36" s="56">
        <f t="shared" si="24"/>
        <v>1282.7398605525002</v>
      </c>
      <c r="I36" s="56">
        <f t="shared" si="24"/>
        <v>1282.7398605525002</v>
      </c>
      <c r="J36" s="56">
        <f t="shared" si="24"/>
        <v>1282.7398605525002</v>
      </c>
      <c r="K36" s="56">
        <f t="shared" si="24"/>
        <v>1282.7398605525002</v>
      </c>
      <c r="L36" s="56">
        <f t="shared" si="24"/>
        <v>1282.7398605525002</v>
      </c>
      <c r="M36" s="56">
        <f t="shared" si="24"/>
        <v>1282.7398605525002</v>
      </c>
      <c r="N36" s="56">
        <f t="shared" si="24"/>
        <v>1282.7398605525002</v>
      </c>
      <c r="O36" s="100">
        <v>0</v>
      </c>
      <c r="P36" s="100">
        <v>0</v>
      </c>
      <c r="Q36" s="100">
        <v>0</v>
      </c>
      <c r="R36" s="107">
        <f>SUM(C36:Q36)</f>
        <v>15392.87832663</v>
      </c>
      <c r="S36" s="119"/>
      <c r="T36" s="5"/>
    </row>
    <row r="37" spans="2:20" x14ac:dyDescent="0.25">
      <c r="B37" s="68" t="s">
        <v>69</v>
      </c>
      <c r="C37" s="109">
        <f>J14-C28</f>
        <v>77514.037426931958</v>
      </c>
      <c r="D37" s="109">
        <f>C37</f>
        <v>77514.037426931958</v>
      </c>
      <c r="E37" s="109">
        <f>C37</f>
        <v>77514.037426931958</v>
      </c>
      <c r="F37" s="109">
        <f>C37</f>
        <v>77514.037426931958</v>
      </c>
      <c r="G37" s="109">
        <f>C37</f>
        <v>77514.037426931958</v>
      </c>
      <c r="H37" s="109">
        <f>C37</f>
        <v>77514.037426931958</v>
      </c>
      <c r="I37" s="109">
        <f>C37</f>
        <v>77514.037426931958</v>
      </c>
      <c r="J37" s="109">
        <f>C37</f>
        <v>77514.037426931958</v>
      </c>
      <c r="K37" s="109">
        <f>C37</f>
        <v>77514.037426931958</v>
      </c>
      <c r="L37" s="109">
        <f>C37</f>
        <v>77514.037426931958</v>
      </c>
      <c r="M37" s="109">
        <f>D37</f>
        <v>77514.037426931958</v>
      </c>
      <c r="N37" s="109">
        <f>E37</f>
        <v>77514.037426931958</v>
      </c>
      <c r="O37" s="109">
        <v>0</v>
      </c>
      <c r="P37" s="109">
        <v>0</v>
      </c>
      <c r="Q37" s="109">
        <v>0</v>
      </c>
      <c r="R37" s="102">
        <f>SUM(C37:Q37)</f>
        <v>930168.44912318373</v>
      </c>
      <c r="S37" s="120"/>
      <c r="T37" s="5"/>
    </row>
    <row r="38" spans="2:20" x14ac:dyDescent="0.25">
      <c r="B38" s="55" t="s">
        <v>35</v>
      </c>
      <c r="C38" s="62">
        <f>C37*$C$13</f>
        <v>45314.706279784426</v>
      </c>
      <c r="D38" s="62">
        <f t="shared" ref="D38:M38" si="25">D37*$C$13</f>
        <v>45314.706279784426</v>
      </c>
      <c r="E38" s="62">
        <f t="shared" si="25"/>
        <v>45314.706279784426</v>
      </c>
      <c r="F38" s="62">
        <f t="shared" si="25"/>
        <v>45314.706279784426</v>
      </c>
      <c r="G38" s="62">
        <f t="shared" si="25"/>
        <v>45314.706279784426</v>
      </c>
      <c r="H38" s="62">
        <f t="shared" si="25"/>
        <v>45314.706279784426</v>
      </c>
      <c r="I38" s="62">
        <f>I37*$C$13</f>
        <v>45314.706279784426</v>
      </c>
      <c r="J38" s="62">
        <f>J37*$C$13</f>
        <v>45314.706279784426</v>
      </c>
      <c r="K38" s="62">
        <f t="shared" si="25"/>
        <v>45314.706279784426</v>
      </c>
      <c r="L38" s="62">
        <f t="shared" si="25"/>
        <v>45314.706279784426</v>
      </c>
      <c r="M38" s="62">
        <f t="shared" si="25"/>
        <v>45314.706279784426</v>
      </c>
      <c r="N38" s="62">
        <f>N37*$C$13</f>
        <v>45314.706279784426</v>
      </c>
      <c r="O38" s="62">
        <f t="shared" ref="O38" si="26">O37*0.5846</f>
        <v>0</v>
      </c>
      <c r="P38" s="62">
        <f t="shared" ref="P38" si="27">P37*0.5846</f>
        <v>0</v>
      </c>
      <c r="Q38" s="62">
        <f t="shared" ref="Q38" si="28">Q37*0.5846</f>
        <v>0</v>
      </c>
      <c r="R38" s="103">
        <f t="shared" ref="R38:R39" si="29">SUM(C38:Q38)</f>
        <v>543776.47535741318</v>
      </c>
      <c r="S38" s="121"/>
      <c r="T38" s="5"/>
    </row>
    <row r="39" spans="2:20" x14ac:dyDescent="0.25">
      <c r="B39" s="55" t="s">
        <v>53</v>
      </c>
      <c r="C39" s="62">
        <v>0</v>
      </c>
      <c r="D39" s="62">
        <v>0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2">
        <v>0</v>
      </c>
      <c r="M39" s="62">
        <v>0</v>
      </c>
      <c r="N39" s="62">
        <v>0</v>
      </c>
      <c r="O39" s="62">
        <f>O37*0.0199</f>
        <v>0</v>
      </c>
      <c r="P39" s="62">
        <f>P37*0.0199</f>
        <v>0</v>
      </c>
      <c r="Q39" s="62">
        <f t="shared" ref="Q39" si="30">Q37*0.0199</f>
        <v>0</v>
      </c>
      <c r="R39" s="103">
        <f t="shared" si="29"/>
        <v>0</v>
      </c>
      <c r="S39" s="121"/>
      <c r="T39" s="5"/>
    </row>
    <row r="40" spans="2:20" x14ac:dyDescent="0.25">
      <c r="B40" s="68" t="s">
        <v>34</v>
      </c>
      <c r="C40" s="50">
        <f>C25/2</f>
        <v>0</v>
      </c>
      <c r="D40" s="50">
        <f t="shared" ref="D40:R40" si="31">D25</f>
        <v>31458</v>
      </c>
      <c r="E40" s="50">
        <f t="shared" si="31"/>
        <v>33689.25</v>
      </c>
      <c r="F40" s="50">
        <f t="shared" si="31"/>
        <v>35987.425000000003</v>
      </c>
      <c r="G40" s="50">
        <f t="shared" si="31"/>
        <v>38354.550000000003</v>
      </c>
      <c r="H40" s="50">
        <f t="shared" si="31"/>
        <v>40867.675000000003</v>
      </c>
      <c r="I40" s="50">
        <f t="shared" si="31"/>
        <v>43303.95</v>
      </c>
      <c r="J40" s="50">
        <f t="shared" si="31"/>
        <v>45890.55</v>
      </c>
      <c r="K40" s="50">
        <f t="shared" si="31"/>
        <v>47140.55</v>
      </c>
      <c r="L40" s="50">
        <f t="shared" si="31"/>
        <v>48554.766499999998</v>
      </c>
      <c r="M40" s="50">
        <f t="shared" si="31"/>
        <v>50011.409495</v>
      </c>
      <c r="N40" s="50">
        <f t="shared" si="31"/>
        <v>51511.751779850005</v>
      </c>
      <c r="O40" s="50">
        <f t="shared" si="31"/>
        <v>0</v>
      </c>
      <c r="P40" s="50">
        <f t="shared" si="31"/>
        <v>0</v>
      </c>
      <c r="Q40" s="50">
        <f t="shared" si="31"/>
        <v>0</v>
      </c>
      <c r="R40" s="102">
        <f t="shared" si="31"/>
        <v>466769.87777485</v>
      </c>
      <c r="S40" s="120"/>
      <c r="T40" s="5"/>
    </row>
    <row r="41" spans="2:20" s="58" customFormat="1" x14ac:dyDescent="0.25">
      <c r="B41" s="55" t="s">
        <v>20</v>
      </c>
      <c r="C41" s="63">
        <v>0</v>
      </c>
      <c r="D41" s="56">
        <f>D25/2</f>
        <v>15729</v>
      </c>
      <c r="E41" s="56">
        <f>E25/2</f>
        <v>16844.625</v>
      </c>
      <c r="F41" s="56">
        <f t="shared" ref="F41:P41" si="32">F40/2</f>
        <v>17993.712500000001</v>
      </c>
      <c r="G41" s="56">
        <f t="shared" si="32"/>
        <v>19177.275000000001</v>
      </c>
      <c r="H41" s="56">
        <f t="shared" si="32"/>
        <v>20433.837500000001</v>
      </c>
      <c r="I41" s="56">
        <f t="shared" si="32"/>
        <v>21651.974999999999</v>
      </c>
      <c r="J41" s="56">
        <f t="shared" si="32"/>
        <v>22945.275000000001</v>
      </c>
      <c r="K41" s="56">
        <f t="shared" si="32"/>
        <v>23570.275000000001</v>
      </c>
      <c r="L41" s="56">
        <f t="shared" si="32"/>
        <v>24277.383249999999</v>
      </c>
      <c r="M41" s="56">
        <f t="shared" si="32"/>
        <v>25005.7047475</v>
      </c>
      <c r="N41" s="56">
        <f t="shared" si="32"/>
        <v>25755.875889925002</v>
      </c>
      <c r="O41" s="56">
        <f t="shared" si="32"/>
        <v>0</v>
      </c>
      <c r="P41" s="56">
        <f t="shared" si="32"/>
        <v>0</v>
      </c>
      <c r="Q41" s="56">
        <f t="shared" ref="Q41" si="33">Q40/2</f>
        <v>0</v>
      </c>
      <c r="R41" s="103">
        <f>SUM(C41:Q41)</f>
        <v>233384.938887425</v>
      </c>
      <c r="S41" s="121"/>
      <c r="T41" s="57"/>
    </row>
    <row r="42" spans="2:20" s="58" customFormat="1" x14ac:dyDescent="0.25">
      <c r="B42" s="55" t="s">
        <v>53</v>
      </c>
      <c r="C42" s="63">
        <f t="shared" ref="C42:R42" si="34">C25/2</f>
        <v>0</v>
      </c>
      <c r="D42" s="56">
        <f t="shared" si="34"/>
        <v>15729</v>
      </c>
      <c r="E42" s="56">
        <f t="shared" si="34"/>
        <v>16844.625</v>
      </c>
      <c r="F42" s="56">
        <f t="shared" si="34"/>
        <v>17993.712500000001</v>
      </c>
      <c r="G42" s="56">
        <f t="shared" si="34"/>
        <v>19177.275000000001</v>
      </c>
      <c r="H42" s="56">
        <f t="shared" si="34"/>
        <v>20433.837500000001</v>
      </c>
      <c r="I42" s="56">
        <f t="shared" si="34"/>
        <v>21651.974999999999</v>
      </c>
      <c r="J42" s="56">
        <f t="shared" si="34"/>
        <v>22945.275000000001</v>
      </c>
      <c r="K42" s="56">
        <f t="shared" si="34"/>
        <v>23570.275000000001</v>
      </c>
      <c r="L42" s="56">
        <f t="shared" si="34"/>
        <v>24277.383249999999</v>
      </c>
      <c r="M42" s="56">
        <f t="shared" si="34"/>
        <v>25005.7047475</v>
      </c>
      <c r="N42" s="56">
        <f t="shared" si="34"/>
        <v>25755.875889925002</v>
      </c>
      <c r="O42" s="56">
        <f t="shared" si="34"/>
        <v>0</v>
      </c>
      <c r="P42" s="56">
        <f t="shared" si="34"/>
        <v>0</v>
      </c>
      <c r="Q42" s="56">
        <f t="shared" si="34"/>
        <v>0</v>
      </c>
      <c r="R42" s="103">
        <f t="shared" si="34"/>
        <v>233384.938887425</v>
      </c>
      <c r="S42" s="121"/>
      <c r="T42" s="57"/>
    </row>
    <row r="43" spans="2:20" x14ac:dyDescent="0.25">
      <c r="B43" s="68" t="s">
        <v>9</v>
      </c>
      <c r="C43" s="109">
        <f>C37-C38</f>
        <v>32199.331147147532</v>
      </c>
      <c r="D43" s="109">
        <f t="shared" ref="D43:E43" si="35">D37-D38-D39</f>
        <v>32199.331147147532</v>
      </c>
      <c r="E43" s="109">
        <f t="shared" si="35"/>
        <v>32199.331147147532</v>
      </c>
      <c r="F43" s="109">
        <f t="shared" ref="F43:M43" si="36">F37-F38-F39</f>
        <v>32199.331147147532</v>
      </c>
      <c r="G43" s="109">
        <f t="shared" si="36"/>
        <v>32199.331147147532</v>
      </c>
      <c r="H43" s="109">
        <f t="shared" si="36"/>
        <v>32199.331147147532</v>
      </c>
      <c r="I43" s="109">
        <f t="shared" si="36"/>
        <v>32199.331147147532</v>
      </c>
      <c r="J43" s="109">
        <f t="shared" si="36"/>
        <v>32199.331147147532</v>
      </c>
      <c r="K43" s="109">
        <f t="shared" si="36"/>
        <v>32199.331147147532</v>
      </c>
      <c r="L43" s="109">
        <f t="shared" si="36"/>
        <v>32199.331147147532</v>
      </c>
      <c r="M43" s="109">
        <f t="shared" si="36"/>
        <v>32199.331147147532</v>
      </c>
      <c r="N43" s="109">
        <f>N37-N38-N39</f>
        <v>32199.331147147532</v>
      </c>
      <c r="O43" s="110">
        <v>0</v>
      </c>
      <c r="P43" s="110">
        <v>0</v>
      </c>
      <c r="Q43" s="110">
        <v>0</v>
      </c>
      <c r="R43" s="102">
        <f>SUM(C43:Q43)</f>
        <v>386391.97376577026</v>
      </c>
      <c r="S43" s="120"/>
      <c r="T43" s="5"/>
    </row>
    <row r="44" spans="2:20" x14ac:dyDescent="0.25">
      <c r="B44" s="68" t="s">
        <v>19</v>
      </c>
      <c r="C44" s="109">
        <v>500</v>
      </c>
      <c r="D44" s="109">
        <v>500</v>
      </c>
      <c r="E44" s="109">
        <v>500</v>
      </c>
      <c r="F44" s="109">
        <v>500</v>
      </c>
      <c r="G44" s="109">
        <v>500</v>
      </c>
      <c r="H44" s="109">
        <v>500</v>
      </c>
      <c r="I44" s="109">
        <v>500</v>
      </c>
      <c r="J44" s="109">
        <v>500</v>
      </c>
      <c r="K44" s="109">
        <v>500</v>
      </c>
      <c r="L44" s="109">
        <v>500</v>
      </c>
      <c r="M44" s="110">
        <v>500</v>
      </c>
      <c r="N44" s="110">
        <v>500</v>
      </c>
      <c r="O44" s="110">
        <v>0</v>
      </c>
      <c r="P44" s="110">
        <v>0</v>
      </c>
      <c r="Q44" s="110">
        <v>0</v>
      </c>
      <c r="R44" s="102">
        <f>SUM(C44:Q44)</f>
        <v>6000</v>
      </c>
      <c r="S44" s="120"/>
      <c r="T44" s="5"/>
    </row>
    <row r="45" spans="2:20" ht="15.75" thickBot="1" x14ac:dyDescent="0.3">
      <c r="B45" s="51" t="s">
        <v>11</v>
      </c>
      <c r="C45" s="37">
        <f>SUM(C34+C37+C40+C43+C44)</f>
        <v>174672.65804907947</v>
      </c>
      <c r="D45" s="37">
        <f>SUM(D34+D37+D40+D43+D44)</f>
        <v>206130.65804907947</v>
      </c>
      <c r="E45" s="37">
        <f t="shared" ref="E45:Q45" si="37">SUM(E34+E37+E40+E43+E44)</f>
        <v>208361.90804907947</v>
      </c>
      <c r="F45" s="37">
        <f t="shared" ref="F45:P45" si="38">SUM(F34+F37+F40+F43+F44)</f>
        <v>210660.08304907946</v>
      </c>
      <c r="G45" s="37">
        <f t="shared" si="38"/>
        <v>213027.20804907946</v>
      </c>
      <c r="H45" s="37">
        <f t="shared" si="38"/>
        <v>215540.33304907946</v>
      </c>
      <c r="I45" s="37">
        <f t="shared" si="38"/>
        <v>217976.60804907948</v>
      </c>
      <c r="J45" s="37">
        <f t="shared" si="38"/>
        <v>220563.20804907946</v>
      </c>
      <c r="K45" s="37">
        <f t="shared" si="38"/>
        <v>221813.20804907946</v>
      </c>
      <c r="L45" s="37">
        <f t="shared" si="38"/>
        <v>223227.4245490795</v>
      </c>
      <c r="M45" s="37">
        <f t="shared" si="38"/>
        <v>224684.0675440795</v>
      </c>
      <c r="N45" s="37">
        <f t="shared" si="38"/>
        <v>226184.40982892946</v>
      </c>
      <c r="O45" s="37">
        <f t="shared" si="38"/>
        <v>0</v>
      </c>
      <c r="P45" s="37">
        <f t="shared" si="38"/>
        <v>0</v>
      </c>
      <c r="Q45" s="37">
        <f t="shared" si="37"/>
        <v>0</v>
      </c>
      <c r="R45" s="79">
        <f>R34+R37+R40+R43+R44</f>
        <v>2562841.7743638041</v>
      </c>
      <c r="S45" s="80"/>
      <c r="T45" s="5"/>
    </row>
    <row r="47" spans="2:20" x14ac:dyDescent="0.25">
      <c r="B47" t="s">
        <v>63</v>
      </c>
      <c r="C47" t="s">
        <v>47</v>
      </c>
      <c r="I47" s="80"/>
      <c r="J47" s="80"/>
    </row>
    <row r="48" spans="2:20" x14ac:dyDescent="0.25">
      <c r="B48" t="s">
        <v>64</v>
      </c>
      <c r="C48" t="s">
        <v>42</v>
      </c>
    </row>
    <row r="49" spans="2:3" x14ac:dyDescent="0.25">
      <c r="B49" t="s">
        <v>65</v>
      </c>
      <c r="C49" t="s">
        <v>45</v>
      </c>
    </row>
    <row r="50" spans="2:3" x14ac:dyDescent="0.25">
      <c r="B50" t="s">
        <v>73</v>
      </c>
      <c r="C50" t="s">
        <v>43</v>
      </c>
    </row>
    <row r="51" spans="2:3" x14ac:dyDescent="0.25">
      <c r="B51" t="s">
        <v>74</v>
      </c>
      <c r="C51" t="s">
        <v>44</v>
      </c>
    </row>
    <row r="52" spans="2:3" x14ac:dyDescent="0.25">
      <c r="B52" t="s">
        <v>75</v>
      </c>
      <c r="C52" t="s">
        <v>49</v>
      </c>
    </row>
    <row r="53" spans="2:3" x14ac:dyDescent="0.25">
      <c r="B53" t="s">
        <v>66</v>
      </c>
      <c r="C53" t="s">
        <v>51</v>
      </c>
    </row>
    <row r="54" spans="2:3" x14ac:dyDescent="0.25">
      <c r="B54" t="s">
        <v>67</v>
      </c>
      <c r="C54" t="s">
        <v>52</v>
      </c>
    </row>
    <row r="55" spans="2:3" x14ac:dyDescent="0.25">
      <c r="B55" t="s">
        <v>54</v>
      </c>
    </row>
    <row r="56" spans="2:3" x14ac:dyDescent="0.25">
      <c r="B56" t="s">
        <v>77</v>
      </c>
    </row>
  </sheetData>
  <mergeCells count="13">
    <mergeCell ref="L15:M15"/>
    <mergeCell ref="L16:M16"/>
    <mergeCell ref="R7:T7"/>
    <mergeCell ref="O7:P7"/>
    <mergeCell ref="O11:P11"/>
    <mergeCell ref="L11:M11"/>
    <mergeCell ref="F8:G8"/>
    <mergeCell ref="O8:P8"/>
    <mergeCell ref="O9:P9"/>
    <mergeCell ref="O10:P10"/>
    <mergeCell ref="I8:J8"/>
    <mergeCell ref="L8:M8"/>
    <mergeCell ref="L9:M9"/>
  </mergeCells>
  <phoneticPr fontId="5" type="noConversion"/>
  <pageMargins left="0.2" right="0.2" top="0.25" bottom="0.25" header="0.3" footer="0.3"/>
  <pageSetup paperSize="5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Gahanna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Hamons</dc:creator>
  <cp:lastModifiedBy>Jeff Gottke</cp:lastModifiedBy>
  <cp:lastPrinted>2025-06-11T14:23:01Z</cp:lastPrinted>
  <dcterms:created xsi:type="dcterms:W3CDTF">2024-02-19T18:54:26Z</dcterms:created>
  <dcterms:modified xsi:type="dcterms:W3CDTF">2025-06-18T17:44:46Z</dcterms:modified>
</cp:coreProperties>
</file>