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375" tabRatio="852" activeTab="0"/>
  </bookViews>
  <sheets>
    <sheet name="Pro Forma" sheetId="1" r:id="rId1"/>
    <sheet name="Tax Rates - TIF" sheetId="2" r:id="rId2"/>
    <sheet name="Total Service" sheetId="10" r:id="rId3"/>
    <sheet name="Roads" sheetId="8" r:id="rId4"/>
    <sheet name="Snow Removal" sheetId="3" r:id="rId5"/>
    <sheet name="Street Light" sheetId="4" r:id="rId6"/>
    <sheet name="Storm Water" sheetId="5" r:id="rId7"/>
    <sheet name="Police" sheetId="6" r:id="rId8"/>
    <sheet name="Parks" sheetId="7" r:id="rId9"/>
    <sheet name="Schools" sheetId="9" r:id="rId10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<sst xmlns="http://schemas.openxmlformats.org/spreadsheetml/2006/main" count="253" uniqueCount="179">
  <si>
    <t>Years</t>
  </si>
  <si>
    <t>Average Home Value</t>
  </si>
  <si>
    <t>City of Gahanna</t>
  </si>
  <si>
    <t>Market Value of Property</t>
  </si>
  <si>
    <t>Taxing District #027</t>
  </si>
  <si>
    <t>Franklin County</t>
  </si>
  <si>
    <t>ADAMH</t>
  </si>
  <si>
    <t>Zoological Park</t>
  </si>
  <si>
    <t>Library</t>
  </si>
  <si>
    <t>Additional Millage Amount</t>
  </si>
  <si>
    <t>Annual Special Assessment Revenue</t>
  </si>
  <si>
    <t>Cumulative Special Assessment Revenue</t>
  </si>
  <si>
    <t># Homes Per Developer</t>
  </si>
  <si>
    <t>REVENUES</t>
  </si>
  <si>
    <t>COSTS</t>
  </si>
  <si>
    <t>Storm Water Maintenance</t>
  </si>
  <si>
    <t>Snow and Ice Removal</t>
  </si>
  <si>
    <t>Street Light Maintenance</t>
  </si>
  <si>
    <t>Street Sweeping</t>
  </si>
  <si>
    <t>Street Maintenance</t>
  </si>
  <si>
    <t>Trail Maintenance</t>
  </si>
  <si>
    <t>NCA Annual Administrative Fee</t>
  </si>
  <si>
    <t>Res/Agr</t>
  </si>
  <si>
    <t>Com/Ind</t>
  </si>
  <si>
    <t>Children's Services</t>
  </si>
  <si>
    <t>MRDD</t>
  </si>
  <si>
    <t>Metro Parks</t>
  </si>
  <si>
    <t>Office on Aging</t>
  </si>
  <si>
    <t>Jefferson Township</t>
  </si>
  <si>
    <t>Gahanna City S/D</t>
  </si>
  <si>
    <t>JVSD</t>
  </si>
  <si>
    <t>Total</t>
  </si>
  <si>
    <t>Non-School TIF Millage</t>
  </si>
  <si>
    <t>Total Property Taxes</t>
  </si>
  <si>
    <t>2014-2015</t>
  </si>
  <si>
    <t>School TIF Revenues</t>
  </si>
  <si>
    <t>Police Service</t>
  </si>
  <si>
    <t xml:space="preserve">Hourly pricing for snow and ice removal </t>
  </si>
  <si>
    <t>Date of event: 2015</t>
  </si>
  <si>
    <t>WORK PERFORMED BY PERSONNEL</t>
  </si>
  <si>
    <t>BASE
PAY</t>
  </si>
  <si>
    <r>
      <t xml:space="preserve">REGULAR TIME COSTS
</t>
    </r>
    <r>
      <rPr>
        <sz val="8"/>
        <color theme="1"/>
        <rFont val="Calibri"/>
        <family val="2"/>
        <scheme val="minor"/>
      </rPr>
      <t>(includes benefit percentage)</t>
    </r>
  </si>
  <si>
    <r>
      <t xml:space="preserve">OVERTIME COSTS
</t>
    </r>
    <r>
      <rPr>
        <sz val="8"/>
        <color theme="1"/>
        <rFont val="Calibri"/>
        <family val="2"/>
        <scheme val="minor"/>
      </rPr>
      <t>(includes benefit percentage)</t>
    </r>
  </si>
  <si>
    <r>
      <t xml:space="preserve">DOUBLE TIME COSTS
</t>
    </r>
    <r>
      <rPr>
        <sz val="8"/>
        <color theme="1"/>
        <rFont val="Calibri"/>
        <family val="2"/>
        <scheme val="minor"/>
      </rPr>
      <t>(includes benefit percentage)</t>
    </r>
  </si>
  <si>
    <t>TOTAL COST</t>
  </si>
  <si>
    <t>Name</t>
  </si>
  <si>
    <t>Description</t>
  </si>
  <si>
    <t>Reg
Rate</t>
  </si>
  <si>
    <t>Number
Reg Hrs</t>
  </si>
  <si>
    <t>Reg
Cost</t>
  </si>
  <si>
    <t>OT
Rate</t>
  </si>
  <si>
    <t>Number
OT Hrs</t>
  </si>
  <si>
    <t>OT
Cost</t>
  </si>
  <si>
    <t>DT
Rate</t>
  </si>
  <si>
    <t>Number
DT Hrs</t>
  </si>
  <si>
    <t>DT
Cost</t>
  </si>
  <si>
    <t>(Reg + OT + DT)</t>
  </si>
  <si>
    <t>Employee</t>
  </si>
  <si>
    <t>Snow Plow &amp; Salt driver (Most of my drivers make this hrly base pay) 2.5 ton dump truck</t>
  </si>
  <si>
    <t>Snow Plow driver (Most of my drivers make this hrly base pay) 1 ton dump (team plow)</t>
  </si>
  <si>
    <t xml:space="preserve">Employee </t>
  </si>
  <si>
    <t>Brine truck driver (Most of my drivers make this hrly base pay) 1 ton dump with 500 gallon brine sprayer always done on regular time</t>
  </si>
  <si>
    <t>PERSONNEL SUBTOTAL:</t>
  </si>
  <si>
    <t>Equip/Materials</t>
  </si>
  <si>
    <t>DESCRIPTION</t>
  </si>
  <si>
    <t>RATE</t>
  </si>
  <si>
    <t>HRS/QTY</t>
  </si>
  <si>
    <t>2.5 ton dump truck</t>
  </si>
  <si>
    <t xml:space="preserve"> All 2.5 ton Dump Trucks all have salting and plowing capabilities. Cost per hr per FEMA Equipment Rates is $35.00 per hr.</t>
  </si>
  <si>
    <t>1 ton dump truck 7036</t>
  </si>
  <si>
    <t>This 1 ton dump trucks have brine and plowing capibilities (No salting). Cost per hr per FEMA Equipment Rates is $20.00 per hr.This truck will brine the new development before snow storm.</t>
  </si>
  <si>
    <t>1 ton dump truck 7037</t>
  </si>
  <si>
    <t>1 ton dump truck has plowing capibilities (No salting). Cost per hr per FEMA Equipment Rates is $20.00 per hr. This truck will  be used to team plow with 2.5 ton dump for heavy snow removal.</t>
  </si>
  <si>
    <t>Rock Salt</t>
  </si>
  <si>
    <t>Rock salt is currently priced at $68.73 per ton = roughly $0.034 per pound. 300 lbs to do entire subdivision if needed/ordered</t>
  </si>
  <si>
    <t>Salt Brine</t>
  </si>
  <si>
    <t>Salt Brine 500 gallon chemical sprayer installed in bed of one ton dump. Brining would only be done on normal work hrs not at 1.5 x pay.
Per current snow and ice policy.Cost per hr per FEMA Equipment Rates is $4.00 per hr</t>
  </si>
  <si>
    <t>Salt Brine $0.15 per gallon, estimate useage 40 gallons to do subdivision</t>
  </si>
  <si>
    <t>EQUIPMENT SUBTOTAL:</t>
  </si>
  <si>
    <t>NOTES AND COMMENTS:</t>
  </si>
  <si>
    <t>GRAND
TOTAL</t>
  </si>
  <si>
    <r>
      <t xml:space="preserve">The last 6 years we have had a total of </t>
    </r>
    <r>
      <rPr>
        <b/>
        <sz val="10"/>
        <color theme="1"/>
        <rFont val="Calibri"/>
        <family val="2"/>
        <scheme val="minor"/>
      </rPr>
      <t>137 O.T. Snow and Ice Events.</t>
    </r>
    <r>
      <rPr>
        <sz val="10"/>
        <color theme="1"/>
        <rFont val="Calibri"/>
        <family val="2"/>
        <scheme val="minor"/>
      </rPr>
      <t xml:space="preserve"> The average amount of Overtime snow and ice events </t>
    </r>
    <r>
      <rPr>
        <b/>
        <sz val="10"/>
        <color theme="1"/>
        <rFont val="Calibri"/>
        <family val="2"/>
        <scheme val="minor"/>
      </rPr>
      <t>over the last 6 years is 23 events per year.</t>
    </r>
    <r>
      <rPr>
        <sz val="10"/>
        <color theme="1"/>
        <rFont val="Calibri"/>
        <family val="2"/>
        <scheme val="minor"/>
      </rPr>
      <t xml:space="preserve">
Regular time Cost per hr. brine &amp; snow and ice event $98.67 + $35.00 + $20.00 + $20.00 + $20.20 = $193.87 x 23 events = </t>
    </r>
    <r>
      <rPr>
        <b/>
        <sz val="10"/>
        <color theme="1"/>
        <rFont val="Calibri"/>
        <family val="2"/>
        <scheme val="minor"/>
      </rPr>
      <t xml:space="preserve">$4,459.01 per yr. </t>
    </r>
    <r>
      <rPr>
        <b/>
        <sz val="10"/>
        <color rgb="FFFF0000"/>
        <rFont val="Calibri"/>
        <family val="2"/>
        <scheme val="minor"/>
      </rPr>
      <t>(Includes salt cost $10.20)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Regular time Cost per hr. brine &amp; snow and ice event $98.67 + $35.00 + $20.00 + $20.00 + $10.00 = $183.67 x 23 events = </t>
    </r>
    <r>
      <rPr>
        <b/>
        <sz val="10"/>
        <color theme="1"/>
        <rFont val="Calibri"/>
        <family val="2"/>
        <scheme val="minor"/>
      </rPr>
      <t>$4,224.41 per yr.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(No salt cost)</t>
    </r>
    <r>
      <rPr>
        <sz val="10"/>
        <color theme="1"/>
        <rFont val="Calibri"/>
        <family val="2"/>
        <scheme val="minor"/>
      </rPr>
      <t xml:space="preserve">
New street  salt brine only with no salting or plowing on regular work hrs. 1 employee the cost would be $32.89 + $20.00 + $10.00 = $62.89 per hr x 23 events = </t>
    </r>
    <r>
      <rPr>
        <b/>
        <sz val="10"/>
        <color theme="1"/>
        <rFont val="Calibri"/>
        <family val="2"/>
        <scheme val="minor"/>
      </rPr>
      <t xml:space="preserve">$1446.47 per year.
</t>
    </r>
    <r>
      <rPr>
        <sz val="10"/>
        <color theme="1"/>
        <rFont val="Calibri"/>
        <family val="2"/>
        <scheme val="minor"/>
      </rPr>
      <t xml:space="preserve">New street is only salt brined on regular time with 1 ton. Snow plowed (no salt) with one 1 ton truck on O.T. 1.5xpay hrs the cost would be $32.89 + $20.00 + $10.00 + $49.33 + $20.00 = $132.22 per hr x 23 events = </t>
    </r>
    <r>
      <rPr>
        <b/>
        <sz val="10"/>
        <color theme="1"/>
        <rFont val="Calibri"/>
        <family val="2"/>
        <scheme val="minor"/>
      </rPr>
      <t xml:space="preserve">$3,041.06 per year.
</t>
    </r>
    <r>
      <rPr>
        <sz val="10"/>
        <color theme="1"/>
        <rFont val="Calibri"/>
        <family val="2"/>
        <scheme val="minor"/>
      </rPr>
      <t xml:space="preserve">Brine truck and employee is done on normal regular time. O.T. hourly cost at 1.5xpay with 2 employees team snow plowing </t>
    </r>
    <r>
      <rPr>
        <b/>
        <sz val="10"/>
        <color theme="1"/>
        <rFont val="Calibri"/>
        <family val="2"/>
        <scheme val="minor"/>
      </rPr>
      <t>(no salt</t>
    </r>
    <r>
      <rPr>
        <sz val="10"/>
        <color theme="1"/>
        <rFont val="Calibri"/>
        <family val="2"/>
        <scheme val="minor"/>
      </rPr>
      <t xml:space="preserve">) $32.89 + $20.00 + $10.00 + $49.33 + $49.33 + $35.00 + $20.00 = </t>
    </r>
    <r>
      <rPr>
        <b/>
        <sz val="10"/>
        <color theme="1"/>
        <rFont val="Calibri"/>
        <family val="2"/>
        <scheme val="minor"/>
      </rPr>
      <t xml:space="preserve">$216.55 per hr </t>
    </r>
    <r>
      <rPr>
        <sz val="10"/>
        <color theme="1"/>
        <rFont val="Calibri"/>
        <family val="2"/>
        <scheme val="minor"/>
      </rPr>
      <t xml:space="preserve">x 23 events = </t>
    </r>
    <r>
      <rPr>
        <b/>
        <sz val="10"/>
        <color theme="1"/>
        <rFont val="Calibri"/>
        <family val="2"/>
        <scheme val="minor"/>
      </rPr>
      <t xml:space="preserve">$4,980.65 per year.
</t>
    </r>
    <r>
      <rPr>
        <sz val="10"/>
        <color theme="1"/>
        <rFont val="Calibri"/>
        <family val="2"/>
        <scheme val="minor"/>
      </rPr>
      <t xml:space="preserve">New street is salt brined on regular time with 1 employee &amp; 1 ton dump truck with sprayer. Street is team plowed with 1 ton dump and 2.5 ton dump on overtime with salt = $226.75 per hr. x 23 events = </t>
    </r>
    <r>
      <rPr>
        <b/>
        <sz val="10"/>
        <color theme="1"/>
        <rFont val="Calibri"/>
        <family val="2"/>
        <scheme val="minor"/>
      </rPr>
      <t>$5,215.25</t>
    </r>
    <r>
      <rPr>
        <sz val="10"/>
        <color theme="1"/>
        <rFont val="Calibri"/>
        <family val="2"/>
        <scheme val="minor"/>
      </rPr>
      <t xml:space="preserve">
</t>
    </r>
  </si>
  <si>
    <t>Russ Sims, Department of Public Service, Streets and Utilities Superintendent</t>
  </si>
  <si>
    <r>
      <t xml:space="preserve">Make checks payable to: </t>
    </r>
    <r>
      <rPr>
        <b/>
        <sz val="10"/>
        <color theme="1"/>
        <rFont val="Calibri"/>
        <family val="2"/>
        <scheme val="minor"/>
      </rPr>
      <t>City of Gahanna</t>
    </r>
  </si>
  <si>
    <t>Price for street light maintenance and cost of replacing a damaged street light pole</t>
  </si>
  <si>
    <t xml:space="preserve">Date of event: </t>
  </si>
  <si>
    <t>Clint Servis</t>
  </si>
  <si>
    <t>Jess Howard Electric Employee works 1 day a week and uses City 's bucket truck to save cost. Houly base rate $59.89</t>
  </si>
  <si>
    <t>EQUIPMENT</t>
  </si>
  <si>
    <t>Street Light Pole</t>
  </si>
  <si>
    <t>69281-002 14'-0 Hapco garden green decorate pole $903.00 each</t>
  </si>
  <si>
    <t>Assembly Kit</t>
  </si>
  <si>
    <t>Holophance 150 watts HPS 240 Volts Ballast Assembly, Sylvania LU150/ECO 150W S55 Mogul Base, Holophance GV3C Glass Globe</t>
  </si>
  <si>
    <t xml:space="preserve"> Fuse Connectors</t>
  </si>
  <si>
    <t>Homac FYU-M Fuse Connector (2 per pole needed $25.71 each)</t>
  </si>
  <si>
    <t>Photo Cell</t>
  </si>
  <si>
    <t>Tork 3002 208-277V 1500W Photo Cell</t>
  </si>
  <si>
    <r>
      <t xml:space="preserve">Jess Howard Electric personnel hourly cost is </t>
    </r>
    <r>
      <rPr>
        <b/>
        <sz val="10"/>
        <color theme="1"/>
        <rFont val="Calibri"/>
        <family val="2"/>
        <scheme val="minor"/>
      </rPr>
      <t xml:space="preserve">$59.89 per hr. </t>
    </r>
    <r>
      <rPr>
        <sz val="10"/>
        <color theme="1"/>
        <rFont val="Calibri"/>
        <family val="2"/>
        <scheme val="minor"/>
      </rPr>
      <t>(Service Dept. supplies bucket truck for Jess Howard employee)
Worked with Jess Howard employee to get the proper materials for a total new pole assembly in case one is hit and damaged (</t>
    </r>
    <r>
      <rPr>
        <b/>
        <sz val="10"/>
        <color theme="1"/>
        <rFont val="Calibri"/>
        <family val="2"/>
        <scheme val="minor"/>
      </rPr>
      <t>$1705.48</t>
    </r>
    <r>
      <rPr>
        <sz val="10"/>
        <color theme="1"/>
        <rFont val="Calibri"/>
        <family val="2"/>
        <scheme val="minor"/>
      </rPr>
      <t xml:space="preserve"> see equipment figure above).The Cost of new light pole does not include the installation cost of a new pole set.
Estimating </t>
    </r>
    <r>
      <rPr>
        <b/>
        <sz val="10"/>
        <color theme="1"/>
        <rFont val="Calibri"/>
        <family val="2"/>
        <scheme val="minor"/>
      </rPr>
      <t>3.0 hrs per year</t>
    </r>
    <r>
      <rPr>
        <sz val="10"/>
        <color theme="1"/>
        <rFont val="Calibri"/>
        <family val="2"/>
        <scheme val="minor"/>
      </rPr>
      <t xml:space="preserve"> to do street light work in new sub division  = $59.89 per hr. x 3.0 hrs a year = </t>
    </r>
    <r>
      <rPr>
        <b/>
        <sz val="10"/>
        <color theme="1"/>
        <rFont val="Calibri"/>
        <family val="2"/>
        <scheme val="minor"/>
      </rPr>
      <t xml:space="preserve">$179.67 per year </t>
    </r>
  </si>
  <si>
    <t>Hourly quote for storm water maintenance and televising</t>
  </si>
  <si>
    <t>Needed to drive and operate (Vactor Truck) to job site. Or drive and operate camera truck.</t>
  </si>
  <si>
    <t>Needed to drive tool truck to job site. Set up traffic control and help with cleaning of pipe</t>
  </si>
  <si>
    <t>Needed to help load up debris, flag traffic, Pull hose to back yard, etc.</t>
  </si>
  <si>
    <t>Vactor Truck</t>
  </si>
  <si>
    <t>Aquatech Vactor truck used to clean and remove debris from storm lines and catch basins. Per FEMA Equipment Rates $46.00 per hr</t>
  </si>
  <si>
    <t>1 ton dump truck 5014</t>
  </si>
  <si>
    <t>Needed to transport employees to job site, carry tools, cones, signs and used to haul away any debris the vactor cant vac up. Per FEMA Equipment Rates $20.00 per hr</t>
  </si>
  <si>
    <t>Camera Truck</t>
  </si>
  <si>
    <t>Large box truck housing all tools and camera needed to camera any storm line 6" or larger. Per FEMA Equipment Rates</t>
  </si>
  <si>
    <t>Strom line and basin materials</t>
  </si>
  <si>
    <t>Repair materials needed to repair catch basins or collapsing storm water pipe. Example Concrete mix, repair band to fix hole in pipe, bricks etc.</t>
  </si>
  <si>
    <r>
      <t xml:space="preserve">Cost for strom water maint. work done during normal working hrs. with 3 employees to handle maintence issues. $98.67 + $46.00 + $20.00 + $50.00 = </t>
    </r>
    <r>
      <rPr>
        <b/>
        <sz val="10"/>
        <color theme="1"/>
        <rFont val="Calibri"/>
        <family val="2"/>
        <scheme val="minor"/>
      </rPr>
      <t xml:space="preserve">$214.67 per hr. 
</t>
    </r>
    <r>
      <rPr>
        <sz val="10"/>
        <color theme="1"/>
        <rFont val="Calibri"/>
        <family val="2"/>
        <scheme val="minor"/>
      </rPr>
      <t>Cost for strom water maint. work done during normal working hrs. with 3 employees to handle storm water televising issues. 98.67 + $20.00 + $32.50 =</t>
    </r>
    <r>
      <rPr>
        <b/>
        <sz val="10"/>
        <color theme="1"/>
        <rFont val="Calibri"/>
        <family val="2"/>
        <scheme val="minor"/>
      </rPr>
      <t xml:space="preserve"> $151.17 per hr.</t>
    </r>
  </si>
  <si>
    <t>.</t>
  </si>
  <si>
    <t>Calls for service</t>
  </si>
  <si>
    <t>Avg Cost per call</t>
  </si>
  <si>
    <t>Total Cost for Calls</t>
  </si>
  <si>
    <t>Patroll Cost</t>
  </si>
  <si>
    <t>Total Cost (Call and Patrol)</t>
  </si>
  <si>
    <t>Per Home Per Year</t>
  </si>
  <si>
    <t>Based Upon Hannah Farms Calls for Service Report 1/1/14-11-30-15</t>
  </si>
  <si>
    <t>Provided by Lyndsey Roush, Crime Analyst on 11-30-15</t>
  </si>
  <si>
    <t>Units Occupied</t>
  </si>
  <si>
    <t>Months of Analysis</t>
  </si>
  <si>
    <t>per foot</t>
  </si>
  <si>
    <t>Frequency</t>
  </si>
  <si>
    <t>years</t>
  </si>
  <si>
    <t>Cost</t>
  </si>
  <si>
    <t>Per Unit Per Year</t>
  </si>
  <si>
    <t>Reconstruction</t>
  </si>
  <si>
    <t>Resurfacing</t>
  </si>
  <si>
    <t>Parks and Recreation per capita Cost</t>
  </si>
  <si>
    <t>per year</t>
  </si>
  <si>
    <t>per year per mile</t>
  </si>
  <si>
    <t xml:space="preserve">Park Usage </t>
  </si>
  <si>
    <t>Average Household size (Census)</t>
  </si>
  <si>
    <t>Per Home during period</t>
  </si>
  <si>
    <t>Total Cost to fund one student per year</t>
  </si>
  <si>
    <t>Total number of students per home</t>
  </si>
  <si>
    <t>School Cost</t>
  </si>
  <si>
    <t>Net School Impact (Property Tax Revenue - Cost)</t>
  </si>
  <si>
    <t>Work Performed</t>
  </si>
  <si>
    <t xml:space="preserve">Annual Rate </t>
  </si>
  <si>
    <t>Unit</t>
  </si>
  <si>
    <t xml:space="preserve">Estimated Quantity </t>
  </si>
  <si>
    <t>Estimated Cost of Maintenance</t>
  </si>
  <si>
    <t>Storm Sewer Maintenance (Includes reapirs, camera, and cleaning.  Stormwater BMP maintenance will be the responsbility of the Developer/Homeowner Association)</t>
  </si>
  <si>
    <t>Per linear foot of storm sewer in the subdivision per year</t>
  </si>
  <si>
    <t>Per year</t>
  </si>
  <si>
    <t>Per linear foot of roadway in the subdivision per year</t>
  </si>
  <si>
    <t>Street Maintenance (resurfacing, reconstruction, etc)</t>
  </si>
  <si>
    <t>Note: Final Quantities shall be verified at the time of final engineering plan approval.</t>
  </si>
  <si>
    <t>Total Annual Cost</t>
  </si>
  <si>
    <t>Total City Cost Excluding Schools</t>
  </si>
  <si>
    <t>Darling Road Residential Annexation Pro Forma</t>
  </si>
  <si>
    <t>TIF#1  NCA</t>
  </si>
  <si>
    <t>Annual NCA/TIF Net Impact (Revenue - Cost)</t>
  </si>
  <si>
    <t>Annual NCA/TIF Net Impact Per Home</t>
  </si>
  <si>
    <t>Total NCA/TIF Gross Impact</t>
  </si>
  <si>
    <t>Total NCA/TIF Net Impact</t>
  </si>
  <si>
    <t>Total City Cost over 30 years</t>
  </si>
  <si>
    <t>Annual Cost</t>
  </si>
  <si>
    <t xml:space="preserve"> Trail Repavement per mile (MORPC) 25 years</t>
  </si>
  <si>
    <t>Per Foot</t>
  </si>
  <si>
    <t>Proposed Trail for Project</t>
  </si>
  <si>
    <t>Off Site</t>
  </si>
  <si>
    <t>Feet</t>
  </si>
  <si>
    <t>TOTAL NET REVENUE 30 YEARS</t>
  </si>
  <si>
    <t>Feet in a Mile</t>
  </si>
  <si>
    <t>Total Annual School Property Tax Revenue</t>
  </si>
  <si>
    <t>Total Cumulative School Property Tax Revenue</t>
  </si>
  <si>
    <t>Total Annual City Property Tax Revenue</t>
  </si>
  <si>
    <t>Total Cumulative City Property Tax Revenue</t>
  </si>
  <si>
    <t>Remaining Property Tax Revenue</t>
  </si>
  <si>
    <t>City Property Tax Revenue</t>
  </si>
  <si>
    <t>Total Annual Other Property Tax Revenue</t>
  </si>
  <si>
    <t>Total Cumulative Property Tax Revenue</t>
  </si>
  <si>
    <t>Total Annual Property Tax and NCA Revenue</t>
  </si>
  <si>
    <t>TOTAL NET REVENUE (Property and NCA) ANNUALLY</t>
  </si>
  <si>
    <t>Total Property Tax and NCA Revenue Collected over 30 years</t>
  </si>
  <si>
    <t>1 pole per 245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</si>
</sst>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  <numFmt numFmtId="166" formatCode="_(&quot;$&quot;* #,##0.000_);_(&quot;$&quot;* \(#,##0.000\);_(&quot;$&quot;* &quot;-&quot;??_);_(@_)"/>
    <numFmt numFmtId="167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2" borderId="3" xfId="0" applyFont="1" applyFill="1" applyBorder="1"/>
    <xf numFmtId="0" fontId="3" fillId="2" borderId="1" xfId="0" applyFont="1" applyFill="1" applyBorder="1"/>
    <xf numFmtId="0" fontId="2" fillId="3" borderId="0" xfId="0" applyFont="1" applyFill="1"/>
    <xf numFmtId="0" fontId="2" fillId="2" borderId="4" xfId="0" applyFont="1" applyFill="1" applyBorder="1"/>
    <xf numFmtId="164" fontId="2" fillId="3" borderId="0" xfId="0" applyNumberFormat="1" applyFont="1" applyFill="1" applyBorder="1"/>
    <xf numFmtId="164" fontId="2" fillId="3" borderId="5" xfId="0" applyNumberFormat="1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164" fontId="2" fillId="3" borderId="0" xfId="16" applyNumberFormat="1" applyFont="1" applyFill="1" applyBorder="1"/>
    <xf numFmtId="164" fontId="2" fillId="3" borderId="5" xfId="16" applyNumberFormat="1" applyFont="1" applyFill="1" applyBorder="1"/>
    <xf numFmtId="0" fontId="0" fillId="4" borderId="0" xfId="0" applyFill="1"/>
    <xf numFmtId="0" fontId="2" fillId="4" borderId="0" xfId="0" applyFont="1" applyFill="1"/>
    <xf numFmtId="0" fontId="2" fillId="3" borderId="0" xfId="0" applyFont="1" applyFill="1" applyBorder="1"/>
    <xf numFmtId="44" fontId="0" fillId="0" borderId="0" xfId="0" applyNumberFormat="1"/>
    <xf numFmtId="165" fontId="0" fillId="0" borderId="0" xfId="0" applyNumberFormat="1" applyFill="1" applyBorder="1"/>
    <xf numFmtId="165" fontId="0" fillId="0" borderId="7" xfId="0" applyNumberFormat="1" applyBorder="1"/>
    <xf numFmtId="164" fontId="3" fillId="2" borderId="8" xfId="16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3" fillId="2" borderId="10" xfId="16" applyNumberFormat="1" applyFont="1" applyFill="1" applyBorder="1"/>
    <xf numFmtId="0" fontId="0" fillId="0" borderId="1" xfId="0" applyBorder="1"/>
    <xf numFmtId="165" fontId="0" fillId="0" borderId="6" xfId="0" applyNumberFormat="1" applyFill="1" applyBorder="1"/>
    <xf numFmtId="165" fontId="0" fillId="0" borderId="3" xfId="0" applyNumberFormat="1" applyFill="1" applyBorder="1"/>
    <xf numFmtId="0" fontId="0" fillId="0" borderId="2" xfId="0" applyBorder="1"/>
    <xf numFmtId="165" fontId="0" fillId="0" borderId="5" xfId="0" applyNumberFormat="1" applyFill="1" applyBorder="1"/>
    <xf numFmtId="0" fontId="1" fillId="0" borderId="2" xfId="0" applyFont="1" applyBorder="1"/>
    <xf numFmtId="165" fontId="0" fillId="0" borderId="11" xfId="0" applyNumberFormat="1" applyBorder="1"/>
    <xf numFmtId="0" fontId="5" fillId="0" borderId="8" xfId="0" applyFont="1" applyBorder="1"/>
    <xf numFmtId="165" fontId="0" fillId="0" borderId="9" xfId="0" applyNumberFormat="1" applyBorder="1"/>
    <xf numFmtId="165" fontId="0" fillId="0" borderId="10" xfId="0" applyNumberFormat="1" applyBorder="1"/>
    <xf numFmtId="164" fontId="0" fillId="0" borderId="0" xfId="16" applyNumberFormat="1" applyFont="1"/>
    <xf numFmtId="164" fontId="2" fillId="4" borderId="6" xfId="16" applyNumberFormat="1" applyFont="1" applyFill="1" applyBorder="1"/>
    <xf numFmtId="164" fontId="2" fillId="4" borderId="3" xfId="16" applyNumberFormat="1" applyFont="1" applyFill="1" applyBorder="1"/>
    <xf numFmtId="164" fontId="2" fillId="4" borderId="9" xfId="16" applyNumberFormat="1" applyFont="1" applyFill="1" applyBorder="1"/>
    <xf numFmtId="164" fontId="2" fillId="4" borderId="10" xfId="16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5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44" fontId="10" fillId="0" borderId="16" xfId="0" applyNumberFormat="1" applyFont="1" applyBorder="1" applyAlignment="1">
      <alignment vertical="center" wrapText="1"/>
    </xf>
    <xf numFmtId="44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horizontal="center" vertical="center"/>
    </xf>
    <xf numFmtId="44" fontId="10" fillId="0" borderId="15" xfId="0" applyNumberFormat="1" applyFont="1" applyBorder="1" applyAlignment="1">
      <alignment vertical="center"/>
    </xf>
    <xf numFmtId="44" fontId="10" fillId="0" borderId="1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44" fontId="8" fillId="5" borderId="4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44" fontId="10" fillId="0" borderId="17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4" fontId="10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44" fontId="10" fillId="0" borderId="14" xfId="0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44" fontId="10" fillId="0" borderId="0" xfId="0" applyNumberFormat="1" applyFont="1" applyAlignment="1">
      <alignment vertical="center" wrapText="1"/>
    </xf>
    <xf numFmtId="44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4" fontId="10" fillId="0" borderId="26" xfId="0" applyNumberFormat="1" applyFont="1" applyBorder="1" applyAlignment="1">
      <alignment vertical="center"/>
    </xf>
    <xf numFmtId="2" fontId="10" fillId="0" borderId="27" xfId="0" applyNumberFormat="1" applyFont="1" applyBorder="1" applyAlignment="1">
      <alignment horizontal="center" vertical="center"/>
    </xf>
    <xf numFmtId="44" fontId="10" fillId="0" borderId="2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4" fontId="10" fillId="0" borderId="30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center" vertical="center"/>
    </xf>
    <xf numFmtId="44" fontId="10" fillId="0" borderId="13" xfId="0" applyNumberFormat="1" applyFont="1" applyBorder="1" applyAlignment="1">
      <alignment vertical="center"/>
    </xf>
    <xf numFmtId="0" fontId="0" fillId="0" borderId="0" xfId="16" applyNumberFormat="1" applyFont="1"/>
    <xf numFmtId="0" fontId="0" fillId="0" borderId="0" xfId="0" applyAlignment="1">
      <alignment horizontal="center"/>
    </xf>
    <xf numFmtId="44" fontId="0" fillId="0" borderId="0" xfId="16" applyFont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0" fillId="0" borderId="22" xfId="0" applyFill="1" applyBorder="1"/>
    <xf numFmtId="0" fontId="0" fillId="0" borderId="32" xfId="0" applyBorder="1"/>
    <xf numFmtId="0" fontId="0" fillId="0" borderId="4" xfId="0" applyBorder="1"/>
    <xf numFmtId="0" fontId="2" fillId="0" borderId="22" xfId="0" applyFont="1" applyBorder="1"/>
    <xf numFmtId="167" fontId="0" fillId="0" borderId="23" xfId="0" applyNumberFormat="1" applyBorder="1" applyAlignment="1">
      <alignment horizontal="center"/>
    </xf>
    <xf numFmtId="0" fontId="2" fillId="6" borderId="0" xfId="0" applyFont="1" applyFill="1"/>
    <xf numFmtId="0" fontId="2" fillId="4" borderId="6" xfId="0" applyFont="1" applyFill="1" applyBorder="1"/>
    <xf numFmtId="0" fontId="2" fillId="4" borderId="3" xfId="0" applyFont="1" applyFill="1" applyBorder="1"/>
    <xf numFmtId="164" fontId="2" fillId="4" borderId="0" xfId="16" applyNumberFormat="1" applyFont="1" applyFill="1" applyBorder="1"/>
    <xf numFmtId="164" fontId="2" fillId="4" borderId="0" xfId="0" applyNumberFormat="1" applyFont="1" applyFill="1" applyBorder="1"/>
    <xf numFmtId="164" fontId="2" fillId="4" borderId="5" xfId="0" applyNumberFormat="1" applyFont="1" applyFill="1" applyBorder="1"/>
    <xf numFmtId="164" fontId="2" fillId="4" borderId="5" xfId="16" applyNumberFormat="1" applyFont="1" applyFill="1" applyBorder="1"/>
    <xf numFmtId="0" fontId="0" fillId="6" borderId="0" xfId="0" applyFill="1"/>
    <xf numFmtId="164" fontId="2" fillId="4" borderId="9" xfId="0" applyNumberFormat="1" applyFont="1" applyFill="1" applyBorder="1"/>
    <xf numFmtId="44" fontId="2" fillId="4" borderId="9" xfId="0" applyNumberFormat="1" applyFont="1" applyFill="1" applyBorder="1"/>
    <xf numFmtId="164" fontId="2" fillId="4" borderId="10" xfId="0" applyNumberFormat="1" applyFont="1" applyFill="1" applyBorder="1"/>
    <xf numFmtId="0" fontId="2" fillId="6" borderId="0" xfId="0" applyFont="1" applyFill="1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2" fillId="6" borderId="5" xfId="0" applyFont="1" applyFill="1" applyBorder="1"/>
    <xf numFmtId="164" fontId="2" fillId="6" borderId="0" xfId="0" applyNumberFormat="1" applyFont="1" applyFill="1" applyBorder="1"/>
    <xf numFmtId="0" fontId="0" fillId="6" borderId="0" xfId="0" applyFill="1" applyBorder="1"/>
    <xf numFmtId="0" fontId="0" fillId="4" borderId="0" xfId="0" applyFill="1" applyBorder="1"/>
    <xf numFmtId="164" fontId="2" fillId="2" borderId="4" xfId="0" applyNumberFormat="1" applyFont="1" applyFill="1" applyBorder="1"/>
    <xf numFmtId="164" fontId="2" fillId="6" borderId="0" xfId="16" applyNumberFormat="1" applyFont="1" applyFill="1" applyBorder="1"/>
    <xf numFmtId="164" fontId="2" fillId="6" borderId="5" xfId="16" applyNumberFormat="1" applyFont="1" applyFill="1" applyBorder="1"/>
    <xf numFmtId="164" fontId="0" fillId="6" borderId="0" xfId="0" applyNumberFormat="1" applyFill="1" applyBorder="1"/>
    <xf numFmtId="0" fontId="0" fillId="6" borderId="5" xfId="0" applyFill="1" applyBorder="1"/>
    <xf numFmtId="0" fontId="0" fillId="0" borderId="26" xfId="0" applyFill="1" applyBorder="1" applyAlignment="1">
      <alignment wrapText="1"/>
    </xf>
    <xf numFmtId="167" fontId="0" fillId="0" borderId="27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wrapText="1"/>
    </xf>
    <xf numFmtId="167" fontId="0" fillId="0" borderId="28" xfId="0" applyNumberFormat="1" applyFill="1" applyBorder="1" applyAlignment="1">
      <alignment horizontal="center"/>
    </xf>
    <xf numFmtId="0" fontId="0" fillId="0" borderId="14" xfId="0" applyFill="1" applyBorder="1"/>
    <xf numFmtId="167" fontId="0" fillId="0" borderId="18" xfId="0" applyNumberFormat="1" applyFill="1" applyBorder="1" applyAlignment="1">
      <alignment horizontal="center"/>
    </xf>
    <xf numFmtId="0" fontId="0" fillId="0" borderId="34" xfId="0" applyFill="1" applyBorder="1"/>
    <xf numFmtId="0" fontId="0" fillId="0" borderId="14" xfId="0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30" xfId="0" applyFill="1" applyBorder="1" applyAlignment="1">
      <alignment wrapText="1"/>
    </xf>
    <xf numFmtId="167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 wrapText="1"/>
    </xf>
    <xf numFmtId="167" fontId="0" fillId="0" borderId="37" xfId="0" applyNumberFormat="1" applyFill="1" applyBorder="1" applyAlignment="1">
      <alignment horizontal="center"/>
    </xf>
    <xf numFmtId="167" fontId="0" fillId="0" borderId="0" xfId="0" applyNumberFormat="1"/>
    <xf numFmtId="164" fontId="2" fillId="2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textRotation="255"/>
    </xf>
    <xf numFmtId="164" fontId="2" fillId="0" borderId="0" xfId="0" applyNumberFormat="1" applyFont="1" applyFill="1" applyBorder="1"/>
    <xf numFmtId="44" fontId="2" fillId="0" borderId="0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0" borderId="6" xfId="0" applyFont="1" applyFill="1" applyBorder="1"/>
    <xf numFmtId="164" fontId="2" fillId="0" borderId="6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Border="1"/>
    <xf numFmtId="164" fontId="2" fillId="0" borderId="5" xfId="0" applyNumberFormat="1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164" fontId="2" fillId="0" borderId="10" xfId="0" applyNumberFormat="1" applyFont="1" applyFill="1" applyBorder="1"/>
    <xf numFmtId="0" fontId="2" fillId="0" borderId="10" xfId="0" applyFont="1" applyFill="1" applyBorder="1"/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0" fontId="2" fillId="7" borderId="0" xfId="0" applyFont="1" applyFill="1" applyBorder="1"/>
    <xf numFmtId="0" fontId="0" fillId="7" borderId="0" xfId="0" applyFill="1"/>
    <xf numFmtId="164" fontId="2" fillId="7" borderId="6" xfId="0" applyNumberFormat="1" applyFont="1" applyFill="1" applyBorder="1"/>
    <xf numFmtId="164" fontId="2" fillId="7" borderId="3" xfId="0" applyNumberFormat="1" applyFont="1" applyFill="1" applyBorder="1"/>
    <xf numFmtId="0" fontId="2" fillId="2" borderId="0" xfId="0" applyFont="1" applyFill="1" applyBorder="1"/>
    <xf numFmtId="164" fontId="2" fillId="2" borderId="0" xfId="16" applyNumberFormat="1" applyFont="1" applyFill="1" applyBorder="1"/>
    <xf numFmtId="0" fontId="2" fillId="2" borderId="38" xfId="0" applyFont="1" applyFill="1" applyBorder="1"/>
    <xf numFmtId="0" fontId="2" fillId="7" borderId="0" xfId="0" applyFont="1" applyFill="1" applyBorder="1" applyAlignment="1">
      <alignment horizontal="right"/>
    </xf>
    <xf numFmtId="164" fontId="2" fillId="7" borderId="0" xfId="0" applyNumberFormat="1" applyFont="1" applyFill="1" applyBorder="1"/>
    <xf numFmtId="0" fontId="2" fillId="3" borderId="5" xfId="0" applyFont="1" applyFill="1" applyBorder="1"/>
    <xf numFmtId="0" fontId="2" fillId="2" borderId="5" xfId="0" applyFont="1" applyFill="1" applyBorder="1"/>
    <xf numFmtId="164" fontId="2" fillId="2" borderId="5" xfId="16" applyNumberFormat="1" applyFont="1" applyFill="1" applyBorder="1"/>
    <xf numFmtId="164" fontId="2" fillId="2" borderId="5" xfId="0" applyNumberFormat="1" applyFont="1" applyFill="1" applyBorder="1"/>
    <xf numFmtId="164" fontId="2" fillId="7" borderId="5" xfId="0" applyNumberFormat="1" applyFont="1" applyFill="1" applyBorder="1"/>
    <xf numFmtId="0" fontId="2" fillId="7" borderId="9" xfId="0" applyFont="1" applyFill="1" applyBorder="1" applyAlignment="1">
      <alignment horizontal="right"/>
    </xf>
    <xf numFmtId="164" fontId="2" fillId="7" borderId="9" xfId="0" applyNumberFormat="1" applyFont="1" applyFill="1" applyBorder="1"/>
    <xf numFmtId="164" fontId="2" fillId="7" borderId="10" xfId="0" applyNumberFormat="1" applyFont="1" applyFill="1" applyBorder="1"/>
    <xf numFmtId="0" fontId="2" fillId="4" borderId="0" xfId="0" applyFont="1" applyFill="1" applyBorder="1"/>
    <xf numFmtId="0" fontId="2" fillId="4" borderId="9" xfId="0" applyFont="1" applyFill="1" applyBorder="1"/>
    <xf numFmtId="0" fontId="2" fillId="7" borderId="6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164" fontId="0" fillId="0" borderId="3" xfId="16" applyNumberFormat="1" applyFont="1" applyBorder="1"/>
    <xf numFmtId="164" fontId="0" fillId="0" borderId="5" xfId="0" applyNumberFormat="1" applyBorder="1"/>
    <xf numFmtId="164" fontId="0" fillId="0" borderId="10" xfId="16" applyNumberFormat="1" applyFont="1" applyBorder="1"/>
    <xf numFmtId="0" fontId="0" fillId="0" borderId="2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64" fontId="4" fillId="6" borderId="0" xfId="16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255"/>
    </xf>
    <xf numFmtId="0" fontId="4" fillId="3" borderId="40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4" fillId="4" borderId="12" xfId="0" applyFont="1" applyFill="1" applyBorder="1" applyAlignment="1">
      <alignment horizontal="center" vertical="center" textRotation="255"/>
    </xf>
    <xf numFmtId="0" fontId="4" fillId="4" borderId="40" xfId="0" applyFont="1" applyFill="1" applyBorder="1" applyAlignment="1">
      <alignment horizontal="center" vertical="center" textRotation="255"/>
    </xf>
    <xf numFmtId="0" fontId="4" fillId="4" borderId="13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49" fontId="10" fillId="0" borderId="6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8" fillId="5" borderId="38" xfId="0" applyFont="1" applyFill="1" applyBorder="1" applyAlignment="1">
      <alignment horizontal="right" vertical="center"/>
    </xf>
    <xf numFmtId="0" fontId="8" fillId="5" borderId="32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/>
    </xf>
    <xf numFmtId="44" fontId="8" fillId="5" borderId="5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4" fontId="8" fillId="5" borderId="12" xfId="0" applyNumberFormat="1" applyFont="1" applyFill="1" applyBorder="1" applyAlignment="1">
      <alignment horizontal="center" vertical="center" wrapText="1"/>
    </xf>
    <xf numFmtId="44" fontId="8" fillId="5" borderId="13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zoomScale="80" zoomScaleNormal="80" workbookViewId="0" topLeftCell="A1">
      <selection activeCell="C15" sqref="C15"/>
    </sheetView>
  </sheetViews>
  <sheetFormatPr defaultColWidth="9.140625" defaultRowHeight="15"/>
  <cols>
    <col min="1" max="1" width="1.57421875" style="107" customWidth="1"/>
    <col min="2" max="2" width="8.8515625" style="0" customWidth="1"/>
    <col min="3" max="3" width="72.57421875" style="0" bestFit="1" customWidth="1"/>
    <col min="4" max="4" width="25.00390625" style="0" bestFit="1" customWidth="1"/>
    <col min="5" max="5" width="14.28125" style="0" bestFit="1" customWidth="1"/>
    <col min="6" max="6" width="16.00390625" style="0" customWidth="1"/>
    <col min="7" max="7" width="16.28125" style="0" bestFit="1" customWidth="1"/>
    <col min="8" max="8" width="17.28125" style="0" bestFit="1" customWidth="1"/>
    <col min="9" max="9" width="16.7109375" style="0" customWidth="1"/>
    <col min="10" max="12" width="17.28125" style="0" bestFit="1" customWidth="1"/>
    <col min="13" max="13" width="16.7109375" style="0" customWidth="1"/>
    <col min="14" max="14" width="18.7109375" style="0" customWidth="1"/>
    <col min="15" max="16" width="18.7109375" style="0" bestFit="1" customWidth="1"/>
    <col min="17" max="32" width="17.7109375" style="0" customWidth="1"/>
    <col min="33" max="33" width="17.7109375" style="0" bestFit="1" customWidth="1"/>
  </cols>
  <sheetData>
    <row r="1" spans="2:5" s="107" customFormat="1" ht="29.25" thickBot="1">
      <c r="B1" s="186" t="s">
        <v>152</v>
      </c>
      <c r="C1" s="186"/>
      <c r="D1" s="186"/>
      <c r="E1" s="186"/>
    </row>
    <row r="2" spans="1:33" s="5" customFormat="1" ht="15" customHeight="1">
      <c r="A2" s="100"/>
      <c r="B2" s="190" t="s">
        <v>13</v>
      </c>
      <c r="C2" s="9" t="s">
        <v>0</v>
      </c>
      <c r="D2" s="9">
        <v>1</v>
      </c>
      <c r="E2" s="9">
        <f>D2+1</f>
        <v>2</v>
      </c>
      <c r="F2" s="9">
        <f aca="true" t="shared" si="0" ref="F2:AG2">E2+1</f>
        <v>3</v>
      </c>
      <c r="G2" s="9">
        <f t="shared" si="0"/>
        <v>4</v>
      </c>
      <c r="H2" s="9">
        <f t="shared" si="0"/>
        <v>5</v>
      </c>
      <c r="I2" s="9">
        <f t="shared" si="0"/>
        <v>6</v>
      </c>
      <c r="J2" s="9">
        <f t="shared" si="0"/>
        <v>7</v>
      </c>
      <c r="K2" s="9">
        <f t="shared" si="0"/>
        <v>8</v>
      </c>
      <c r="L2" s="9">
        <f t="shared" si="0"/>
        <v>9</v>
      </c>
      <c r="M2" s="9">
        <f t="shared" si="0"/>
        <v>10</v>
      </c>
      <c r="N2" s="9">
        <f t="shared" si="0"/>
        <v>11</v>
      </c>
      <c r="O2" s="9">
        <f t="shared" si="0"/>
        <v>12</v>
      </c>
      <c r="P2" s="9">
        <f t="shared" si="0"/>
        <v>13</v>
      </c>
      <c r="Q2" s="9">
        <f t="shared" si="0"/>
        <v>14</v>
      </c>
      <c r="R2" s="9">
        <f t="shared" si="0"/>
        <v>15</v>
      </c>
      <c r="S2" s="9">
        <f t="shared" si="0"/>
        <v>16</v>
      </c>
      <c r="T2" s="9">
        <f t="shared" si="0"/>
        <v>17</v>
      </c>
      <c r="U2" s="9">
        <f t="shared" si="0"/>
        <v>18</v>
      </c>
      <c r="V2" s="9">
        <f t="shared" si="0"/>
        <v>19</v>
      </c>
      <c r="W2" s="9">
        <f t="shared" si="0"/>
        <v>20</v>
      </c>
      <c r="X2" s="9">
        <f t="shared" si="0"/>
        <v>21</v>
      </c>
      <c r="Y2" s="9">
        <f t="shared" si="0"/>
        <v>22</v>
      </c>
      <c r="Z2" s="9">
        <f t="shared" si="0"/>
        <v>23</v>
      </c>
      <c r="AA2" s="9">
        <f t="shared" si="0"/>
        <v>24</v>
      </c>
      <c r="AB2" s="9">
        <f t="shared" si="0"/>
        <v>25</v>
      </c>
      <c r="AC2" s="9">
        <f t="shared" si="0"/>
        <v>26</v>
      </c>
      <c r="AD2" s="9">
        <f t="shared" si="0"/>
        <v>27</v>
      </c>
      <c r="AE2" s="9">
        <f t="shared" si="0"/>
        <v>28</v>
      </c>
      <c r="AF2" s="9">
        <f t="shared" si="0"/>
        <v>29</v>
      </c>
      <c r="AG2" s="10">
        <f t="shared" si="0"/>
        <v>30</v>
      </c>
    </row>
    <row r="3" spans="1:33" s="5" customFormat="1" ht="15">
      <c r="A3" s="100"/>
      <c r="B3" s="191"/>
      <c r="C3" s="15" t="s">
        <v>1</v>
      </c>
      <c r="D3" s="11">
        <f>'Tax Rates - TIF'!$C$4</f>
        <v>450000</v>
      </c>
      <c r="E3" s="11">
        <f>'Tax Rates - TIF'!$C$4</f>
        <v>450000</v>
      </c>
      <c r="F3" s="11">
        <f>'Tax Rates - TIF'!$C$4</f>
        <v>450000</v>
      </c>
      <c r="G3" s="11">
        <f>'Tax Rates - TIF'!$C$4</f>
        <v>450000</v>
      </c>
      <c r="H3" s="11">
        <f>'Tax Rates - TIF'!$C$4</f>
        <v>450000</v>
      </c>
      <c r="I3" s="11">
        <f>'Tax Rates - TIF'!$C$4</f>
        <v>450000</v>
      </c>
      <c r="J3" s="11">
        <f>'Tax Rates - TIF'!$C$4</f>
        <v>450000</v>
      </c>
      <c r="K3" s="11">
        <f>'Tax Rates - TIF'!$C$4</f>
        <v>450000</v>
      </c>
      <c r="L3" s="11">
        <f>'Tax Rates - TIF'!$C$4</f>
        <v>450000</v>
      </c>
      <c r="M3" s="11">
        <f>'Tax Rates - TIF'!$C$4</f>
        <v>450000</v>
      </c>
      <c r="N3" s="11">
        <f>'Tax Rates - TIF'!$C$4</f>
        <v>450000</v>
      </c>
      <c r="O3" s="11">
        <f>'Tax Rates - TIF'!$C$4</f>
        <v>450000</v>
      </c>
      <c r="P3" s="11">
        <f>'Tax Rates - TIF'!$C$4</f>
        <v>450000</v>
      </c>
      <c r="Q3" s="11">
        <f>'Tax Rates - TIF'!$C$4</f>
        <v>450000</v>
      </c>
      <c r="R3" s="11">
        <f>'Tax Rates - TIF'!$C$4</f>
        <v>450000</v>
      </c>
      <c r="S3" s="11">
        <f>'Tax Rates - TIF'!$C$4</f>
        <v>450000</v>
      </c>
      <c r="T3" s="11">
        <f>'Tax Rates - TIF'!$C$4</f>
        <v>450000</v>
      </c>
      <c r="U3" s="11">
        <f>'Tax Rates - TIF'!$C$4</f>
        <v>450000</v>
      </c>
      <c r="V3" s="11">
        <f>'Tax Rates - TIF'!$C$4</f>
        <v>450000</v>
      </c>
      <c r="W3" s="11">
        <f>'Tax Rates - TIF'!$C$4</f>
        <v>450000</v>
      </c>
      <c r="X3" s="11">
        <f>'Tax Rates - TIF'!$C$4</f>
        <v>450000</v>
      </c>
      <c r="Y3" s="11">
        <f>'Tax Rates - TIF'!$C$4</f>
        <v>450000</v>
      </c>
      <c r="Z3" s="11">
        <f>'Tax Rates - TIF'!$C$4</f>
        <v>450000</v>
      </c>
      <c r="AA3" s="11">
        <f>'Tax Rates - TIF'!$C$4</f>
        <v>450000</v>
      </c>
      <c r="AB3" s="11">
        <f>'Tax Rates - TIF'!$C$4</f>
        <v>450000</v>
      </c>
      <c r="AC3" s="11">
        <f>'Tax Rates - TIF'!$C$4</f>
        <v>450000</v>
      </c>
      <c r="AD3" s="11">
        <f>'Tax Rates - TIF'!$C$4</f>
        <v>450000</v>
      </c>
      <c r="AE3" s="11">
        <f>'Tax Rates - TIF'!$C$4</f>
        <v>450000</v>
      </c>
      <c r="AF3" s="11">
        <f>'Tax Rates - TIF'!$C$4</f>
        <v>450000</v>
      </c>
      <c r="AG3" s="12">
        <f>'Tax Rates - TIF'!$C$4</f>
        <v>450000</v>
      </c>
    </row>
    <row r="4" spans="1:33" s="15" customFormat="1" ht="15">
      <c r="A4" s="111"/>
      <c r="B4" s="191"/>
      <c r="C4" s="15" t="s">
        <v>12</v>
      </c>
      <c r="D4" s="15">
        <v>30</v>
      </c>
      <c r="E4" s="15">
        <v>60</v>
      </c>
      <c r="F4" s="15">
        <v>90</v>
      </c>
      <c r="G4" s="15">
        <v>94</v>
      </c>
      <c r="H4" s="15">
        <f>G4</f>
        <v>94</v>
      </c>
      <c r="I4" s="15">
        <f aca="true" t="shared" si="1" ref="I4:AG4">H4</f>
        <v>94</v>
      </c>
      <c r="J4" s="15">
        <f t="shared" si="1"/>
        <v>94</v>
      </c>
      <c r="K4" s="15">
        <f t="shared" si="1"/>
        <v>94</v>
      </c>
      <c r="L4" s="15">
        <f t="shared" si="1"/>
        <v>94</v>
      </c>
      <c r="M4" s="15">
        <f t="shared" si="1"/>
        <v>94</v>
      </c>
      <c r="N4" s="15">
        <f t="shared" si="1"/>
        <v>94</v>
      </c>
      <c r="O4" s="15">
        <f t="shared" si="1"/>
        <v>94</v>
      </c>
      <c r="P4" s="15">
        <f t="shared" si="1"/>
        <v>94</v>
      </c>
      <c r="Q4" s="15">
        <f t="shared" si="1"/>
        <v>94</v>
      </c>
      <c r="R4" s="15">
        <f t="shared" si="1"/>
        <v>94</v>
      </c>
      <c r="S4" s="15">
        <f t="shared" si="1"/>
        <v>94</v>
      </c>
      <c r="T4" s="15">
        <f t="shared" si="1"/>
        <v>94</v>
      </c>
      <c r="U4" s="15">
        <f t="shared" si="1"/>
        <v>94</v>
      </c>
      <c r="V4" s="15">
        <f t="shared" si="1"/>
        <v>94</v>
      </c>
      <c r="W4" s="15">
        <f t="shared" si="1"/>
        <v>94</v>
      </c>
      <c r="X4" s="15">
        <f t="shared" si="1"/>
        <v>94</v>
      </c>
      <c r="Y4" s="15">
        <f t="shared" si="1"/>
        <v>94</v>
      </c>
      <c r="Z4" s="15">
        <f t="shared" si="1"/>
        <v>94</v>
      </c>
      <c r="AA4" s="15">
        <f t="shared" si="1"/>
        <v>94</v>
      </c>
      <c r="AB4" s="15">
        <f t="shared" si="1"/>
        <v>94</v>
      </c>
      <c r="AC4" s="15">
        <f t="shared" si="1"/>
        <v>94</v>
      </c>
      <c r="AD4" s="15">
        <f t="shared" si="1"/>
        <v>94</v>
      </c>
      <c r="AE4" s="15">
        <f t="shared" si="1"/>
        <v>94</v>
      </c>
      <c r="AF4" s="15">
        <f t="shared" si="1"/>
        <v>94</v>
      </c>
      <c r="AG4" s="168">
        <f t="shared" si="1"/>
        <v>94</v>
      </c>
    </row>
    <row r="5" spans="2:33" s="107" customFormat="1" ht="15">
      <c r="B5" s="191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25"/>
    </row>
    <row r="6" spans="1:33" s="15" customFormat="1" ht="15">
      <c r="A6" s="111"/>
      <c r="B6" s="191"/>
      <c r="C6" s="15" t="s">
        <v>167</v>
      </c>
      <c r="D6" s="7">
        <f>D4*'Tax Rates - TIF'!$H$16</f>
        <v>199574.6445</v>
      </c>
      <c r="E6" s="7">
        <f>E4*'Tax Rates - TIF'!$H$16</f>
        <v>399149.289</v>
      </c>
      <c r="F6" s="7">
        <f>F4*'Tax Rates - TIF'!$H$16</f>
        <v>598723.9335</v>
      </c>
      <c r="G6" s="7">
        <f>G4*'Tax Rates - TIF'!$H$16</f>
        <v>625333.8861</v>
      </c>
      <c r="H6" s="7">
        <f>G6</f>
        <v>625333.8861</v>
      </c>
      <c r="I6" s="7">
        <f>H6</f>
        <v>625333.8861</v>
      </c>
      <c r="J6" s="7">
        <f aca="true" t="shared" si="2" ref="J6:AG6">I6</f>
        <v>625333.8861</v>
      </c>
      <c r="K6" s="7">
        <f t="shared" si="2"/>
        <v>625333.8861</v>
      </c>
      <c r="L6" s="7">
        <f t="shared" si="2"/>
        <v>625333.8861</v>
      </c>
      <c r="M6" s="7">
        <f t="shared" si="2"/>
        <v>625333.8861</v>
      </c>
      <c r="N6" s="7">
        <f t="shared" si="2"/>
        <v>625333.8861</v>
      </c>
      <c r="O6" s="7">
        <f t="shared" si="2"/>
        <v>625333.8861</v>
      </c>
      <c r="P6" s="7">
        <f t="shared" si="2"/>
        <v>625333.8861</v>
      </c>
      <c r="Q6" s="7">
        <f t="shared" si="2"/>
        <v>625333.8861</v>
      </c>
      <c r="R6" s="7">
        <f t="shared" si="2"/>
        <v>625333.8861</v>
      </c>
      <c r="S6" s="7">
        <f t="shared" si="2"/>
        <v>625333.8861</v>
      </c>
      <c r="T6" s="7">
        <f t="shared" si="2"/>
        <v>625333.8861</v>
      </c>
      <c r="U6" s="7">
        <f t="shared" si="2"/>
        <v>625333.8861</v>
      </c>
      <c r="V6" s="7">
        <f t="shared" si="2"/>
        <v>625333.8861</v>
      </c>
      <c r="W6" s="7">
        <f t="shared" si="2"/>
        <v>625333.8861</v>
      </c>
      <c r="X6" s="7">
        <f t="shared" si="2"/>
        <v>625333.8861</v>
      </c>
      <c r="Y6" s="7">
        <f t="shared" si="2"/>
        <v>625333.8861</v>
      </c>
      <c r="Z6" s="7">
        <f t="shared" si="2"/>
        <v>625333.8861</v>
      </c>
      <c r="AA6" s="7">
        <f t="shared" si="2"/>
        <v>625333.8861</v>
      </c>
      <c r="AB6" s="7">
        <f t="shared" si="2"/>
        <v>625333.8861</v>
      </c>
      <c r="AC6" s="7">
        <f t="shared" si="2"/>
        <v>625333.8861</v>
      </c>
      <c r="AD6" s="7">
        <f t="shared" si="2"/>
        <v>625333.8861</v>
      </c>
      <c r="AE6" s="7">
        <f t="shared" si="2"/>
        <v>625333.8861</v>
      </c>
      <c r="AF6" s="7">
        <f t="shared" si="2"/>
        <v>625333.8861</v>
      </c>
      <c r="AG6" s="8">
        <f t="shared" si="2"/>
        <v>625333.8861</v>
      </c>
    </row>
    <row r="7" spans="1:33" s="15" customFormat="1" ht="15">
      <c r="A7" s="111"/>
      <c r="B7" s="191"/>
      <c r="C7" s="15" t="s">
        <v>168</v>
      </c>
      <c r="D7" s="7">
        <f>D6</f>
        <v>199574.6445</v>
      </c>
      <c r="E7" s="7">
        <f aca="true" t="shared" si="3" ref="E7:AG7">D7+E6</f>
        <v>598723.9335</v>
      </c>
      <c r="F7" s="7">
        <f t="shared" si="3"/>
        <v>1197447.867</v>
      </c>
      <c r="G7" s="7">
        <f>F7+G6</f>
        <v>1822781.7531</v>
      </c>
      <c r="H7" s="7">
        <f t="shared" si="3"/>
        <v>2448115.6392</v>
      </c>
      <c r="I7" s="7">
        <f t="shared" si="3"/>
        <v>3073449.5253</v>
      </c>
      <c r="J7" s="7">
        <f t="shared" si="3"/>
        <v>3698783.4113999996</v>
      </c>
      <c r="K7" s="7">
        <f t="shared" si="3"/>
        <v>4324117.297499999</v>
      </c>
      <c r="L7" s="7">
        <f t="shared" si="3"/>
        <v>4949451.183599999</v>
      </c>
      <c r="M7" s="7">
        <f t="shared" si="3"/>
        <v>5574785.069699999</v>
      </c>
      <c r="N7" s="7">
        <f t="shared" si="3"/>
        <v>6200118.955799999</v>
      </c>
      <c r="O7" s="7">
        <f t="shared" si="3"/>
        <v>6825452.8418999985</v>
      </c>
      <c r="P7" s="7">
        <f t="shared" si="3"/>
        <v>7450786.727999998</v>
      </c>
      <c r="Q7" s="7">
        <f t="shared" si="3"/>
        <v>8076120.614099998</v>
      </c>
      <c r="R7" s="7">
        <f t="shared" si="3"/>
        <v>8701454.500199998</v>
      </c>
      <c r="S7" s="7">
        <f t="shared" si="3"/>
        <v>9326788.386299998</v>
      </c>
      <c r="T7" s="7">
        <f t="shared" si="3"/>
        <v>9952122.272399997</v>
      </c>
      <c r="U7" s="7">
        <f t="shared" si="3"/>
        <v>10577456.158499997</v>
      </c>
      <c r="V7" s="7">
        <f t="shared" si="3"/>
        <v>11202790.044599997</v>
      </c>
      <c r="W7" s="7">
        <f t="shared" si="3"/>
        <v>11828123.930699997</v>
      </c>
      <c r="X7" s="7">
        <f t="shared" si="3"/>
        <v>12453457.816799996</v>
      </c>
      <c r="Y7" s="7">
        <f t="shared" si="3"/>
        <v>13078791.702899996</v>
      </c>
      <c r="Z7" s="7">
        <f t="shared" si="3"/>
        <v>13704125.588999996</v>
      </c>
      <c r="AA7" s="7">
        <f t="shared" si="3"/>
        <v>14329459.475099996</v>
      </c>
      <c r="AB7" s="7">
        <f t="shared" si="3"/>
        <v>14954793.361199996</v>
      </c>
      <c r="AC7" s="7">
        <f t="shared" si="3"/>
        <v>15580127.247299995</v>
      </c>
      <c r="AD7" s="7">
        <f t="shared" si="3"/>
        <v>16205461.133399995</v>
      </c>
      <c r="AE7" s="7">
        <f t="shared" si="3"/>
        <v>16830795.019499995</v>
      </c>
      <c r="AF7" s="7">
        <f t="shared" si="3"/>
        <v>17456128.905599996</v>
      </c>
      <c r="AG7" s="8">
        <f t="shared" si="3"/>
        <v>18081462.791699998</v>
      </c>
    </row>
    <row r="8" spans="2:33" s="119" customFormat="1" ht="15">
      <c r="B8" s="191"/>
      <c r="AG8" s="125"/>
    </row>
    <row r="9" spans="1:33" s="15" customFormat="1" ht="15">
      <c r="A9" s="111"/>
      <c r="B9" s="191"/>
      <c r="C9" s="15" t="s">
        <v>169</v>
      </c>
      <c r="D9" s="7">
        <f>D4*'Tax Rates - TIF'!$H$18</f>
        <v>7701.749999999999</v>
      </c>
      <c r="E9" s="7">
        <f>E4*'Tax Rates - TIF'!$H$18</f>
        <v>15403.499999999998</v>
      </c>
      <c r="F9" s="7">
        <f>F4*'Tax Rates - TIF'!$H$18</f>
        <v>23105.249999999996</v>
      </c>
      <c r="G9" s="7">
        <f>G4*'Tax Rates - TIF'!$H$18</f>
        <v>24132.149999999998</v>
      </c>
      <c r="H9" s="7">
        <f>H4*'Tax Rates - TIF'!$H$18</f>
        <v>24132.149999999998</v>
      </c>
      <c r="I9" s="7">
        <f>I4*'Tax Rates - TIF'!$H$18</f>
        <v>24132.149999999998</v>
      </c>
      <c r="J9" s="7">
        <f>J4*'Tax Rates - TIF'!$H$18</f>
        <v>24132.149999999998</v>
      </c>
      <c r="K9" s="7">
        <f>K4*'Tax Rates - TIF'!$H$18</f>
        <v>24132.149999999998</v>
      </c>
      <c r="L9" s="7">
        <f>L4*'Tax Rates - TIF'!$H$18</f>
        <v>24132.149999999998</v>
      </c>
      <c r="M9" s="7">
        <f>M4*'Tax Rates - TIF'!$H$18</f>
        <v>24132.149999999998</v>
      </c>
      <c r="N9" s="7">
        <f>N4*'Tax Rates - TIF'!$H$18</f>
        <v>24132.149999999998</v>
      </c>
      <c r="O9" s="7">
        <f>O4*'Tax Rates - TIF'!$H$18</f>
        <v>24132.149999999998</v>
      </c>
      <c r="P9" s="7">
        <f>P4*'Tax Rates - TIF'!$H$18</f>
        <v>24132.149999999998</v>
      </c>
      <c r="Q9" s="7">
        <f>Q4*'Tax Rates - TIF'!$H$18</f>
        <v>24132.149999999998</v>
      </c>
      <c r="R9" s="7">
        <f>R4*'Tax Rates - TIF'!$H$18</f>
        <v>24132.149999999998</v>
      </c>
      <c r="S9" s="7">
        <f>S4*'Tax Rates - TIF'!$H$18</f>
        <v>24132.149999999998</v>
      </c>
      <c r="T9" s="7">
        <f>T4*'Tax Rates - TIF'!$H$18</f>
        <v>24132.149999999998</v>
      </c>
      <c r="U9" s="7">
        <f>U4*'Tax Rates - TIF'!$H$18</f>
        <v>24132.149999999998</v>
      </c>
      <c r="V9" s="7">
        <f>V4*'Tax Rates - TIF'!$H$18</f>
        <v>24132.149999999998</v>
      </c>
      <c r="W9" s="7">
        <f>W4*'Tax Rates - TIF'!$H$18</f>
        <v>24132.149999999998</v>
      </c>
      <c r="X9" s="7">
        <f>X4*'Tax Rates - TIF'!$H$18</f>
        <v>24132.149999999998</v>
      </c>
      <c r="Y9" s="7">
        <f>Y4*'Tax Rates - TIF'!$H$18</f>
        <v>24132.149999999998</v>
      </c>
      <c r="Z9" s="7">
        <f>Z4*'Tax Rates - TIF'!$H$18</f>
        <v>24132.149999999998</v>
      </c>
      <c r="AA9" s="7">
        <f>AA4*'Tax Rates - TIF'!$H$18</f>
        <v>24132.149999999998</v>
      </c>
      <c r="AB9" s="7">
        <f>AB4*'Tax Rates - TIF'!$H$18</f>
        <v>24132.149999999998</v>
      </c>
      <c r="AC9" s="7">
        <f>AC4*'Tax Rates - TIF'!$H$18</f>
        <v>24132.149999999998</v>
      </c>
      <c r="AD9" s="7">
        <f>AD4*'Tax Rates - TIF'!$H$18</f>
        <v>24132.149999999998</v>
      </c>
      <c r="AE9" s="7">
        <f>AE4*'Tax Rates - TIF'!$H$18</f>
        <v>24132.149999999998</v>
      </c>
      <c r="AF9" s="7">
        <f>AF4*'Tax Rates - TIF'!$H$18</f>
        <v>24132.149999999998</v>
      </c>
      <c r="AG9" s="8">
        <f>AG4*'Tax Rates - TIF'!$H$18</f>
        <v>24132.149999999998</v>
      </c>
    </row>
    <row r="10" spans="1:33" s="15" customFormat="1" ht="15">
      <c r="A10" s="111"/>
      <c r="B10" s="191"/>
      <c r="C10" s="15" t="s">
        <v>170</v>
      </c>
      <c r="D10" s="7">
        <f>D9</f>
        <v>7701.749999999999</v>
      </c>
      <c r="E10" s="7">
        <f aca="true" t="shared" si="4" ref="E10:AG10">D10+E9</f>
        <v>23105.249999999996</v>
      </c>
      <c r="F10" s="7">
        <f t="shared" si="4"/>
        <v>46210.49999999999</v>
      </c>
      <c r="G10" s="7">
        <f t="shared" si="4"/>
        <v>70342.65</v>
      </c>
      <c r="H10" s="7">
        <f t="shared" si="4"/>
        <v>94474.79999999999</v>
      </c>
      <c r="I10" s="7">
        <f t="shared" si="4"/>
        <v>118606.94999999998</v>
      </c>
      <c r="J10" s="7">
        <f t="shared" si="4"/>
        <v>142739.09999999998</v>
      </c>
      <c r="K10" s="7">
        <f t="shared" si="4"/>
        <v>166871.24999999997</v>
      </c>
      <c r="L10" s="7">
        <f t="shared" si="4"/>
        <v>191003.39999999997</v>
      </c>
      <c r="M10" s="7">
        <f t="shared" si="4"/>
        <v>215135.54999999996</v>
      </c>
      <c r="N10" s="7">
        <f t="shared" si="4"/>
        <v>239267.69999999995</v>
      </c>
      <c r="O10" s="7">
        <f t="shared" si="4"/>
        <v>263399.85</v>
      </c>
      <c r="P10" s="7">
        <f t="shared" si="4"/>
        <v>287532</v>
      </c>
      <c r="Q10" s="7">
        <f t="shared" si="4"/>
        <v>311664.15</v>
      </c>
      <c r="R10" s="7">
        <f t="shared" si="4"/>
        <v>335796.30000000005</v>
      </c>
      <c r="S10" s="7">
        <f t="shared" si="4"/>
        <v>359928.45000000007</v>
      </c>
      <c r="T10" s="7">
        <f t="shared" si="4"/>
        <v>384060.6000000001</v>
      </c>
      <c r="U10" s="7">
        <f t="shared" si="4"/>
        <v>408192.7500000001</v>
      </c>
      <c r="V10" s="7">
        <f t="shared" si="4"/>
        <v>432324.90000000014</v>
      </c>
      <c r="W10" s="7">
        <f t="shared" si="4"/>
        <v>456457.05000000016</v>
      </c>
      <c r="X10" s="7">
        <f t="shared" si="4"/>
        <v>480589.2000000002</v>
      </c>
      <c r="Y10" s="7">
        <f t="shared" si="4"/>
        <v>504721.3500000002</v>
      </c>
      <c r="Z10" s="7">
        <f t="shared" si="4"/>
        <v>528853.5000000002</v>
      </c>
      <c r="AA10" s="7">
        <f t="shared" si="4"/>
        <v>552985.6500000003</v>
      </c>
      <c r="AB10" s="7">
        <f t="shared" si="4"/>
        <v>577117.8000000003</v>
      </c>
      <c r="AC10" s="7">
        <f t="shared" si="4"/>
        <v>601249.9500000003</v>
      </c>
      <c r="AD10" s="7">
        <f t="shared" si="4"/>
        <v>625382.1000000003</v>
      </c>
      <c r="AE10" s="7">
        <f t="shared" si="4"/>
        <v>649514.2500000003</v>
      </c>
      <c r="AF10" s="7">
        <f t="shared" si="4"/>
        <v>673646.4000000004</v>
      </c>
      <c r="AG10" s="8">
        <f t="shared" si="4"/>
        <v>697778.5500000004</v>
      </c>
    </row>
    <row r="11" spans="2:33" s="111" customFormat="1" ht="15">
      <c r="B11" s="191"/>
      <c r="AG11" s="117"/>
    </row>
    <row r="12" spans="1:33" s="15" customFormat="1" ht="15">
      <c r="A12" s="111"/>
      <c r="B12" s="191"/>
      <c r="C12" s="15" t="s">
        <v>173</v>
      </c>
      <c r="D12" s="11">
        <f>D4*'Tax Rates - TIF'!$H$17</f>
        <v>165211.0236</v>
      </c>
      <c r="E12" s="11">
        <f>E4*'Tax Rates - TIF'!$H$17</f>
        <v>330422.0472</v>
      </c>
      <c r="F12" s="11">
        <f>F4*'Tax Rates - TIF'!$H$17</f>
        <v>495633.0707999999</v>
      </c>
      <c r="G12" s="11">
        <f>G4*'Tax Rates - TIF'!$H$17</f>
        <v>517661.2072799999</v>
      </c>
      <c r="H12" s="11">
        <f>H4*'Tax Rates - TIF'!$H$17</f>
        <v>517661.2072799999</v>
      </c>
      <c r="I12" s="11">
        <f>I4*'Tax Rates - TIF'!$H$17</f>
        <v>517661.2072799999</v>
      </c>
      <c r="J12" s="11">
        <f>J4*'Tax Rates - TIF'!$H$17</f>
        <v>517661.2072799999</v>
      </c>
      <c r="K12" s="11">
        <f>K4*'Tax Rates - TIF'!$H$17</f>
        <v>517661.2072799999</v>
      </c>
      <c r="L12" s="11">
        <f>L4*'Tax Rates - TIF'!$H$17</f>
        <v>517661.2072799999</v>
      </c>
      <c r="M12" s="11">
        <f>M4*'Tax Rates - TIF'!$H$17</f>
        <v>517661.2072799999</v>
      </c>
      <c r="N12" s="11">
        <f>N4*'Tax Rates - TIF'!$H$17</f>
        <v>517661.2072799999</v>
      </c>
      <c r="O12" s="11">
        <f>O4*'Tax Rates - TIF'!$H$17</f>
        <v>517661.2072799999</v>
      </c>
      <c r="P12" s="11">
        <f>P4*'Tax Rates - TIF'!$H$17</f>
        <v>517661.2072799999</v>
      </c>
      <c r="Q12" s="11">
        <f>Q4*'Tax Rates - TIF'!$H$17</f>
        <v>517661.2072799999</v>
      </c>
      <c r="R12" s="11">
        <f>R4*'Tax Rates - TIF'!$H$17</f>
        <v>517661.2072799999</v>
      </c>
      <c r="S12" s="11">
        <f>S4*'Tax Rates - TIF'!$H$17</f>
        <v>517661.2072799999</v>
      </c>
      <c r="T12" s="11">
        <f>T4*'Tax Rates - TIF'!$H$17</f>
        <v>517661.2072799999</v>
      </c>
      <c r="U12" s="11">
        <f>U4*'Tax Rates - TIF'!$H$17</f>
        <v>517661.2072799999</v>
      </c>
      <c r="V12" s="11">
        <f>V4*'Tax Rates - TIF'!$H$17</f>
        <v>517661.2072799999</v>
      </c>
      <c r="W12" s="11">
        <f>W4*'Tax Rates - TIF'!$H$17</f>
        <v>517661.2072799999</v>
      </c>
      <c r="X12" s="11">
        <f>X4*'Tax Rates - TIF'!$H$17</f>
        <v>517661.2072799999</v>
      </c>
      <c r="Y12" s="11">
        <f>Y4*'Tax Rates - TIF'!$H$17</f>
        <v>517661.2072799999</v>
      </c>
      <c r="Z12" s="11">
        <f>Z4*'Tax Rates - TIF'!$H$17</f>
        <v>517661.2072799999</v>
      </c>
      <c r="AA12" s="11">
        <f>AA4*'Tax Rates - TIF'!$H$17</f>
        <v>517661.2072799999</v>
      </c>
      <c r="AB12" s="11">
        <f>AB4*'Tax Rates - TIF'!$H$17</f>
        <v>517661.2072799999</v>
      </c>
      <c r="AC12" s="11">
        <f>AC4*'Tax Rates - TIF'!$H$17</f>
        <v>517661.2072799999</v>
      </c>
      <c r="AD12" s="11">
        <f>AD4*'Tax Rates - TIF'!$H$17</f>
        <v>517661.2072799999</v>
      </c>
      <c r="AE12" s="11">
        <f>AE4*'Tax Rates - TIF'!$H$17</f>
        <v>517661.2072799999</v>
      </c>
      <c r="AF12" s="11">
        <f>AF4*'Tax Rates - TIF'!$H$17</f>
        <v>517661.2072799999</v>
      </c>
      <c r="AG12" s="12">
        <f>AG4*'Tax Rates - TIF'!$H$17</f>
        <v>517661.2072799999</v>
      </c>
    </row>
    <row r="13" spans="1:33" s="15" customFormat="1" ht="15">
      <c r="A13" s="111"/>
      <c r="B13" s="191"/>
      <c r="C13" s="15" t="s">
        <v>174</v>
      </c>
      <c r="D13" s="7">
        <f>D12</f>
        <v>165211.0236</v>
      </c>
      <c r="E13" s="7">
        <f>E12+D13</f>
        <v>495633.0708</v>
      </c>
      <c r="F13" s="7">
        <f aca="true" t="shared" si="5" ref="F13:AG13">F12+E13</f>
        <v>991266.1416</v>
      </c>
      <c r="G13" s="7">
        <f t="shared" si="5"/>
        <v>1508927.34888</v>
      </c>
      <c r="H13" s="7">
        <f t="shared" si="5"/>
        <v>2026588.55616</v>
      </c>
      <c r="I13" s="7">
        <f t="shared" si="5"/>
        <v>2544249.76344</v>
      </c>
      <c r="J13" s="7">
        <f t="shared" si="5"/>
        <v>3061910.9707199996</v>
      </c>
      <c r="K13" s="7">
        <f t="shared" si="5"/>
        <v>3579572.1779999994</v>
      </c>
      <c r="L13" s="7">
        <f t="shared" si="5"/>
        <v>4097233.385279999</v>
      </c>
      <c r="M13" s="7">
        <f t="shared" si="5"/>
        <v>4614894.592559999</v>
      </c>
      <c r="N13" s="7">
        <f t="shared" si="5"/>
        <v>5132555.799839999</v>
      </c>
      <c r="O13" s="7">
        <f t="shared" si="5"/>
        <v>5650217.007119998</v>
      </c>
      <c r="P13" s="7">
        <f t="shared" si="5"/>
        <v>6167878.214399998</v>
      </c>
      <c r="Q13" s="7">
        <f t="shared" si="5"/>
        <v>6685539.421679998</v>
      </c>
      <c r="R13" s="7">
        <f t="shared" si="5"/>
        <v>7203200.628959998</v>
      </c>
      <c r="S13" s="7">
        <f t="shared" si="5"/>
        <v>7720861.836239997</v>
      </c>
      <c r="T13" s="7">
        <f t="shared" si="5"/>
        <v>8238523.043519997</v>
      </c>
      <c r="U13" s="7">
        <f t="shared" si="5"/>
        <v>8756184.250799997</v>
      </c>
      <c r="V13" s="7">
        <f t="shared" si="5"/>
        <v>9273845.458079997</v>
      </c>
      <c r="W13" s="7">
        <f t="shared" si="5"/>
        <v>9791506.665359998</v>
      </c>
      <c r="X13" s="7">
        <f t="shared" si="5"/>
        <v>10309167.872639999</v>
      </c>
      <c r="Y13" s="7">
        <f t="shared" si="5"/>
        <v>10826829.07992</v>
      </c>
      <c r="Z13" s="7">
        <f t="shared" si="5"/>
        <v>11344490.2872</v>
      </c>
      <c r="AA13" s="7">
        <f t="shared" si="5"/>
        <v>11862151.49448</v>
      </c>
      <c r="AB13" s="7">
        <f t="shared" si="5"/>
        <v>12379812.701760001</v>
      </c>
      <c r="AC13" s="7">
        <f t="shared" si="5"/>
        <v>12897473.909040002</v>
      </c>
      <c r="AD13" s="7">
        <f t="shared" si="5"/>
        <v>13415135.116320003</v>
      </c>
      <c r="AE13" s="7">
        <f t="shared" si="5"/>
        <v>13932796.323600003</v>
      </c>
      <c r="AF13" s="7">
        <f t="shared" si="5"/>
        <v>14450457.530880004</v>
      </c>
      <c r="AG13" s="8">
        <f t="shared" si="5"/>
        <v>14968118.738160005</v>
      </c>
    </row>
    <row r="14" spans="2:33" s="111" customFormat="1" ht="15.75" thickBot="1">
      <c r="B14" s="191"/>
      <c r="AG14" s="117"/>
    </row>
    <row r="15" spans="1:33" s="163" customFormat="1" ht="15.75" thickBot="1">
      <c r="A15" s="111"/>
      <c r="B15" s="191"/>
      <c r="C15" s="165" t="s">
        <v>9</v>
      </c>
      <c r="D15" s="6">
        <v>7</v>
      </c>
      <c r="E15" s="141"/>
      <c r="AG15" s="169"/>
    </row>
    <row r="16" spans="1:33" s="163" customFormat="1" ht="15">
      <c r="A16" s="111"/>
      <c r="B16" s="191"/>
      <c r="C16" s="163" t="s">
        <v>10</v>
      </c>
      <c r="D16" s="164">
        <f aca="true" t="shared" si="6" ref="D16:AG16">($D$15*(1/1000)*(0.35*D3))*D4</f>
        <v>33075</v>
      </c>
      <c r="E16" s="164">
        <f t="shared" si="6"/>
        <v>66150</v>
      </c>
      <c r="F16" s="164">
        <f t="shared" si="6"/>
        <v>99225</v>
      </c>
      <c r="G16" s="164">
        <f t="shared" si="6"/>
        <v>103635</v>
      </c>
      <c r="H16" s="164">
        <f t="shared" si="6"/>
        <v>103635</v>
      </c>
      <c r="I16" s="164">
        <f t="shared" si="6"/>
        <v>103635</v>
      </c>
      <c r="J16" s="164">
        <f t="shared" si="6"/>
        <v>103635</v>
      </c>
      <c r="K16" s="164">
        <f t="shared" si="6"/>
        <v>103635</v>
      </c>
      <c r="L16" s="164">
        <f t="shared" si="6"/>
        <v>103635</v>
      </c>
      <c r="M16" s="164">
        <f t="shared" si="6"/>
        <v>103635</v>
      </c>
      <c r="N16" s="164">
        <f t="shared" si="6"/>
        <v>103635</v>
      </c>
      <c r="O16" s="164">
        <f t="shared" si="6"/>
        <v>103635</v>
      </c>
      <c r="P16" s="164">
        <f t="shared" si="6"/>
        <v>103635</v>
      </c>
      <c r="Q16" s="164">
        <f t="shared" si="6"/>
        <v>103635</v>
      </c>
      <c r="R16" s="164">
        <f t="shared" si="6"/>
        <v>103635</v>
      </c>
      <c r="S16" s="164">
        <f t="shared" si="6"/>
        <v>103635</v>
      </c>
      <c r="T16" s="164">
        <f t="shared" si="6"/>
        <v>103635</v>
      </c>
      <c r="U16" s="164">
        <f t="shared" si="6"/>
        <v>103635</v>
      </c>
      <c r="V16" s="164">
        <f t="shared" si="6"/>
        <v>103635</v>
      </c>
      <c r="W16" s="164">
        <f t="shared" si="6"/>
        <v>103635</v>
      </c>
      <c r="X16" s="164">
        <f t="shared" si="6"/>
        <v>103635</v>
      </c>
      <c r="Y16" s="164">
        <f t="shared" si="6"/>
        <v>103635</v>
      </c>
      <c r="Z16" s="164">
        <f t="shared" si="6"/>
        <v>103635</v>
      </c>
      <c r="AA16" s="164">
        <f t="shared" si="6"/>
        <v>103635</v>
      </c>
      <c r="AB16" s="164">
        <f t="shared" si="6"/>
        <v>103635</v>
      </c>
      <c r="AC16" s="164">
        <f t="shared" si="6"/>
        <v>103635</v>
      </c>
      <c r="AD16" s="164">
        <f t="shared" si="6"/>
        <v>103635</v>
      </c>
      <c r="AE16" s="164">
        <f t="shared" si="6"/>
        <v>103635</v>
      </c>
      <c r="AF16" s="164">
        <f t="shared" si="6"/>
        <v>103635</v>
      </c>
      <c r="AG16" s="170">
        <f t="shared" si="6"/>
        <v>103635</v>
      </c>
    </row>
    <row r="17" spans="1:33" s="163" customFormat="1" ht="15">
      <c r="A17" s="111"/>
      <c r="B17" s="191"/>
      <c r="C17" s="163" t="s">
        <v>11</v>
      </c>
      <c r="D17" s="141">
        <f>D16</f>
        <v>33075</v>
      </c>
      <c r="E17" s="141">
        <f aca="true" t="shared" si="7" ref="E17:AG17">E16+D17</f>
        <v>99225</v>
      </c>
      <c r="F17" s="141">
        <f t="shared" si="7"/>
        <v>198450</v>
      </c>
      <c r="G17" s="141">
        <f t="shared" si="7"/>
        <v>302085</v>
      </c>
      <c r="H17" s="141">
        <f t="shared" si="7"/>
        <v>405720</v>
      </c>
      <c r="I17" s="141">
        <f t="shared" si="7"/>
        <v>509355</v>
      </c>
      <c r="J17" s="141">
        <f t="shared" si="7"/>
        <v>612990</v>
      </c>
      <c r="K17" s="141">
        <f t="shared" si="7"/>
        <v>716625</v>
      </c>
      <c r="L17" s="141">
        <f t="shared" si="7"/>
        <v>820260</v>
      </c>
      <c r="M17" s="141">
        <f t="shared" si="7"/>
        <v>923895</v>
      </c>
      <c r="N17" s="141">
        <f t="shared" si="7"/>
        <v>1027530</v>
      </c>
      <c r="O17" s="141">
        <f t="shared" si="7"/>
        <v>1131165</v>
      </c>
      <c r="P17" s="141">
        <f t="shared" si="7"/>
        <v>1234800</v>
      </c>
      <c r="Q17" s="141">
        <f t="shared" si="7"/>
        <v>1338435</v>
      </c>
      <c r="R17" s="141">
        <f t="shared" si="7"/>
        <v>1442070</v>
      </c>
      <c r="S17" s="141">
        <f t="shared" si="7"/>
        <v>1545705</v>
      </c>
      <c r="T17" s="141">
        <f t="shared" si="7"/>
        <v>1649340</v>
      </c>
      <c r="U17" s="141">
        <f t="shared" si="7"/>
        <v>1752975</v>
      </c>
      <c r="V17" s="141">
        <f t="shared" si="7"/>
        <v>1856610</v>
      </c>
      <c r="W17" s="141">
        <f t="shared" si="7"/>
        <v>1960245</v>
      </c>
      <c r="X17" s="141">
        <f t="shared" si="7"/>
        <v>2063880</v>
      </c>
      <c r="Y17" s="141">
        <f t="shared" si="7"/>
        <v>2167515</v>
      </c>
      <c r="Z17" s="141">
        <f t="shared" si="7"/>
        <v>2271150</v>
      </c>
      <c r="AA17" s="141">
        <f t="shared" si="7"/>
        <v>2374785</v>
      </c>
      <c r="AB17" s="141">
        <f t="shared" si="7"/>
        <v>2478420</v>
      </c>
      <c r="AC17" s="141">
        <f t="shared" si="7"/>
        <v>2582055</v>
      </c>
      <c r="AD17" s="141">
        <f t="shared" si="7"/>
        <v>2685690</v>
      </c>
      <c r="AE17" s="141">
        <f t="shared" si="7"/>
        <v>2789325</v>
      </c>
      <c r="AF17" s="141">
        <f t="shared" si="7"/>
        <v>2892960</v>
      </c>
      <c r="AG17" s="171">
        <f t="shared" si="7"/>
        <v>2996595</v>
      </c>
    </row>
    <row r="18" spans="2:33" s="111" customFormat="1" ht="15">
      <c r="B18" s="191"/>
      <c r="G18" s="118"/>
      <c r="AG18" s="117"/>
    </row>
    <row r="19" spans="1:33" s="159" customFormat="1" ht="15">
      <c r="A19" s="111"/>
      <c r="B19" s="191"/>
      <c r="C19" s="166" t="s">
        <v>175</v>
      </c>
      <c r="D19" s="167">
        <f aca="true" t="shared" si="8" ref="D19:AG19">D9+D16</f>
        <v>40776.75</v>
      </c>
      <c r="E19" s="167">
        <f t="shared" si="8"/>
        <v>81553.5</v>
      </c>
      <c r="F19" s="167">
        <f t="shared" si="8"/>
        <v>122330.25</v>
      </c>
      <c r="G19" s="167">
        <f t="shared" si="8"/>
        <v>127767.15</v>
      </c>
      <c r="H19" s="167">
        <f t="shared" si="8"/>
        <v>127767.15</v>
      </c>
      <c r="I19" s="167">
        <f t="shared" si="8"/>
        <v>127767.15</v>
      </c>
      <c r="J19" s="167">
        <f t="shared" si="8"/>
        <v>127767.15</v>
      </c>
      <c r="K19" s="167">
        <f t="shared" si="8"/>
        <v>127767.15</v>
      </c>
      <c r="L19" s="167">
        <f t="shared" si="8"/>
        <v>127767.15</v>
      </c>
      <c r="M19" s="167">
        <f t="shared" si="8"/>
        <v>127767.15</v>
      </c>
      <c r="N19" s="167">
        <f t="shared" si="8"/>
        <v>127767.15</v>
      </c>
      <c r="O19" s="167">
        <f t="shared" si="8"/>
        <v>127767.15</v>
      </c>
      <c r="P19" s="167">
        <f t="shared" si="8"/>
        <v>127767.15</v>
      </c>
      <c r="Q19" s="167">
        <f t="shared" si="8"/>
        <v>127767.15</v>
      </c>
      <c r="R19" s="167">
        <f t="shared" si="8"/>
        <v>127767.15</v>
      </c>
      <c r="S19" s="167">
        <f t="shared" si="8"/>
        <v>127767.15</v>
      </c>
      <c r="T19" s="167">
        <f t="shared" si="8"/>
        <v>127767.15</v>
      </c>
      <c r="U19" s="167">
        <f t="shared" si="8"/>
        <v>127767.15</v>
      </c>
      <c r="V19" s="167">
        <f t="shared" si="8"/>
        <v>127767.15</v>
      </c>
      <c r="W19" s="167">
        <f t="shared" si="8"/>
        <v>127767.15</v>
      </c>
      <c r="X19" s="167">
        <f t="shared" si="8"/>
        <v>127767.15</v>
      </c>
      <c r="Y19" s="167">
        <f t="shared" si="8"/>
        <v>127767.15</v>
      </c>
      <c r="Z19" s="167">
        <f t="shared" si="8"/>
        <v>127767.15</v>
      </c>
      <c r="AA19" s="167">
        <f t="shared" si="8"/>
        <v>127767.15</v>
      </c>
      <c r="AB19" s="167">
        <f t="shared" si="8"/>
        <v>127767.15</v>
      </c>
      <c r="AC19" s="167">
        <f t="shared" si="8"/>
        <v>127767.15</v>
      </c>
      <c r="AD19" s="167">
        <f t="shared" si="8"/>
        <v>127767.15</v>
      </c>
      <c r="AE19" s="167">
        <f t="shared" si="8"/>
        <v>127767.15</v>
      </c>
      <c r="AF19" s="167">
        <f t="shared" si="8"/>
        <v>127767.15</v>
      </c>
      <c r="AG19" s="172">
        <f t="shared" si="8"/>
        <v>127767.15</v>
      </c>
    </row>
    <row r="20" spans="1:33" s="159" customFormat="1" ht="15.75" thickBot="1">
      <c r="A20" s="111"/>
      <c r="B20" s="192"/>
      <c r="C20" s="173" t="s">
        <v>177</v>
      </c>
      <c r="D20" s="174">
        <f>AG17+AG10</f>
        <v>3694373.5500000003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5"/>
    </row>
    <row r="21" ht="15.75" thickBot="1"/>
    <row r="22" spans="1:33" s="14" customFormat="1" ht="15" customHeight="1">
      <c r="A22" s="100"/>
      <c r="B22" s="193" t="s">
        <v>14</v>
      </c>
      <c r="C22" s="101" t="s">
        <v>0</v>
      </c>
      <c r="D22" s="101">
        <v>1</v>
      </c>
      <c r="E22" s="101">
        <f>1+D22</f>
        <v>2</v>
      </c>
      <c r="F22" s="101">
        <f aca="true" t="shared" si="9" ref="F22:AG22">1+E22</f>
        <v>3</v>
      </c>
      <c r="G22" s="101">
        <f t="shared" si="9"/>
        <v>4</v>
      </c>
      <c r="H22" s="101">
        <f t="shared" si="9"/>
        <v>5</v>
      </c>
      <c r="I22" s="101">
        <f t="shared" si="9"/>
        <v>6</v>
      </c>
      <c r="J22" s="101">
        <f t="shared" si="9"/>
        <v>7</v>
      </c>
      <c r="K22" s="101">
        <f t="shared" si="9"/>
        <v>8</v>
      </c>
      <c r="L22" s="101">
        <f t="shared" si="9"/>
        <v>9</v>
      </c>
      <c r="M22" s="101">
        <f t="shared" si="9"/>
        <v>10</v>
      </c>
      <c r="N22" s="101">
        <f t="shared" si="9"/>
        <v>11</v>
      </c>
      <c r="O22" s="101">
        <f t="shared" si="9"/>
        <v>12</v>
      </c>
      <c r="P22" s="101">
        <f t="shared" si="9"/>
        <v>13</v>
      </c>
      <c r="Q22" s="101">
        <f t="shared" si="9"/>
        <v>14</v>
      </c>
      <c r="R22" s="101">
        <f t="shared" si="9"/>
        <v>15</v>
      </c>
      <c r="S22" s="101">
        <f t="shared" si="9"/>
        <v>16</v>
      </c>
      <c r="T22" s="101">
        <f t="shared" si="9"/>
        <v>17</v>
      </c>
      <c r="U22" s="101">
        <f t="shared" si="9"/>
        <v>18</v>
      </c>
      <c r="V22" s="101">
        <f t="shared" si="9"/>
        <v>19</v>
      </c>
      <c r="W22" s="101">
        <f t="shared" si="9"/>
        <v>20</v>
      </c>
      <c r="X22" s="101">
        <f t="shared" si="9"/>
        <v>21</v>
      </c>
      <c r="Y22" s="101">
        <f t="shared" si="9"/>
        <v>22</v>
      </c>
      <c r="Z22" s="101">
        <f t="shared" si="9"/>
        <v>23</v>
      </c>
      <c r="AA22" s="101">
        <f t="shared" si="9"/>
        <v>24</v>
      </c>
      <c r="AB22" s="101">
        <f t="shared" si="9"/>
        <v>25</v>
      </c>
      <c r="AC22" s="101">
        <f t="shared" si="9"/>
        <v>26</v>
      </c>
      <c r="AD22" s="101">
        <f t="shared" si="9"/>
        <v>27</v>
      </c>
      <c r="AE22" s="101">
        <f t="shared" si="9"/>
        <v>28</v>
      </c>
      <c r="AF22" s="101">
        <f t="shared" si="9"/>
        <v>29</v>
      </c>
      <c r="AG22" s="102">
        <f t="shared" si="9"/>
        <v>30</v>
      </c>
    </row>
    <row r="23" spans="1:33" s="14" customFormat="1" ht="15">
      <c r="A23" s="100"/>
      <c r="B23" s="194"/>
      <c r="C23" s="176" t="s">
        <v>21</v>
      </c>
      <c r="D23" s="103">
        <v>2000</v>
      </c>
      <c r="E23" s="104">
        <f>D23</f>
        <v>2000</v>
      </c>
      <c r="F23" s="104">
        <f aca="true" t="shared" si="10" ref="F23:AG23">E23</f>
        <v>2000</v>
      </c>
      <c r="G23" s="104">
        <f t="shared" si="10"/>
        <v>2000</v>
      </c>
      <c r="H23" s="104">
        <f t="shared" si="10"/>
        <v>2000</v>
      </c>
      <c r="I23" s="104">
        <f t="shared" si="10"/>
        <v>2000</v>
      </c>
      <c r="J23" s="104">
        <f t="shared" si="10"/>
        <v>2000</v>
      </c>
      <c r="K23" s="104">
        <f t="shared" si="10"/>
        <v>2000</v>
      </c>
      <c r="L23" s="104">
        <f t="shared" si="10"/>
        <v>2000</v>
      </c>
      <c r="M23" s="104">
        <f t="shared" si="10"/>
        <v>2000</v>
      </c>
      <c r="N23" s="104">
        <f t="shared" si="10"/>
        <v>2000</v>
      </c>
      <c r="O23" s="104">
        <f t="shared" si="10"/>
        <v>2000</v>
      </c>
      <c r="P23" s="104">
        <f t="shared" si="10"/>
        <v>2000</v>
      </c>
      <c r="Q23" s="104">
        <f t="shared" si="10"/>
        <v>2000</v>
      </c>
      <c r="R23" s="104">
        <f t="shared" si="10"/>
        <v>2000</v>
      </c>
      <c r="S23" s="104">
        <f t="shared" si="10"/>
        <v>2000</v>
      </c>
      <c r="T23" s="104">
        <f t="shared" si="10"/>
        <v>2000</v>
      </c>
      <c r="U23" s="104">
        <f t="shared" si="10"/>
        <v>2000</v>
      </c>
      <c r="V23" s="104">
        <f t="shared" si="10"/>
        <v>2000</v>
      </c>
      <c r="W23" s="104">
        <f t="shared" si="10"/>
        <v>2000</v>
      </c>
      <c r="X23" s="104">
        <f t="shared" si="10"/>
        <v>2000</v>
      </c>
      <c r="Y23" s="104">
        <f t="shared" si="10"/>
        <v>2000</v>
      </c>
      <c r="Z23" s="104">
        <f t="shared" si="10"/>
        <v>2000</v>
      </c>
      <c r="AA23" s="104">
        <f t="shared" si="10"/>
        <v>2000</v>
      </c>
      <c r="AB23" s="104">
        <f t="shared" si="10"/>
        <v>2000</v>
      </c>
      <c r="AC23" s="104">
        <f t="shared" si="10"/>
        <v>2000</v>
      </c>
      <c r="AD23" s="104">
        <f t="shared" si="10"/>
        <v>2000</v>
      </c>
      <c r="AE23" s="104">
        <f t="shared" si="10"/>
        <v>2000</v>
      </c>
      <c r="AF23" s="104">
        <f t="shared" si="10"/>
        <v>2000</v>
      </c>
      <c r="AG23" s="105">
        <f t="shared" si="10"/>
        <v>2000</v>
      </c>
    </row>
    <row r="24" spans="1:33" s="14" customFormat="1" ht="15">
      <c r="A24" s="100"/>
      <c r="B24" s="194"/>
      <c r="C24" s="176" t="s">
        <v>15</v>
      </c>
      <c r="D24" s="103">
        <f>'Total Service'!$F$3</f>
        <v>3953.0000000000005</v>
      </c>
      <c r="E24" s="103">
        <f>'Total Service'!$F$3</f>
        <v>3953.0000000000005</v>
      </c>
      <c r="F24" s="103">
        <f>'Total Service'!$F$3</f>
        <v>3953.0000000000005</v>
      </c>
      <c r="G24" s="103">
        <f>'Total Service'!$F$3</f>
        <v>3953.0000000000005</v>
      </c>
      <c r="H24" s="103">
        <f>'Total Service'!$F$3</f>
        <v>3953.0000000000005</v>
      </c>
      <c r="I24" s="103">
        <f>'Total Service'!$F$3</f>
        <v>3953.0000000000005</v>
      </c>
      <c r="J24" s="103">
        <f>'Total Service'!$F$3</f>
        <v>3953.0000000000005</v>
      </c>
      <c r="K24" s="103">
        <f>'Total Service'!$F$3</f>
        <v>3953.0000000000005</v>
      </c>
      <c r="L24" s="103">
        <f>'Total Service'!$F$3</f>
        <v>3953.0000000000005</v>
      </c>
      <c r="M24" s="103">
        <f>'Total Service'!$F$3</f>
        <v>3953.0000000000005</v>
      </c>
      <c r="N24" s="103">
        <f>'Total Service'!$F$3</f>
        <v>3953.0000000000005</v>
      </c>
      <c r="O24" s="103">
        <f>'Total Service'!$F$3</f>
        <v>3953.0000000000005</v>
      </c>
      <c r="P24" s="103">
        <f>'Total Service'!$F$3</f>
        <v>3953.0000000000005</v>
      </c>
      <c r="Q24" s="103">
        <f>'Total Service'!$F$3</f>
        <v>3953.0000000000005</v>
      </c>
      <c r="R24" s="103">
        <f>'Total Service'!$F$3</f>
        <v>3953.0000000000005</v>
      </c>
      <c r="S24" s="103">
        <f>'Total Service'!$F$3</f>
        <v>3953.0000000000005</v>
      </c>
      <c r="T24" s="103">
        <f>'Total Service'!$F$3</f>
        <v>3953.0000000000005</v>
      </c>
      <c r="U24" s="103">
        <f>'Total Service'!$F$3</f>
        <v>3953.0000000000005</v>
      </c>
      <c r="V24" s="103">
        <f>'Total Service'!$F$3</f>
        <v>3953.0000000000005</v>
      </c>
      <c r="W24" s="103">
        <f>'Total Service'!$F$3</f>
        <v>3953.0000000000005</v>
      </c>
      <c r="X24" s="103">
        <f>'Total Service'!$F$3</f>
        <v>3953.0000000000005</v>
      </c>
      <c r="Y24" s="103">
        <f>'Total Service'!$F$3</f>
        <v>3953.0000000000005</v>
      </c>
      <c r="Z24" s="103">
        <f>'Total Service'!$F$3</f>
        <v>3953.0000000000005</v>
      </c>
      <c r="AA24" s="103">
        <f>'Total Service'!$F$3</f>
        <v>3953.0000000000005</v>
      </c>
      <c r="AB24" s="103">
        <f>'Total Service'!$F$3</f>
        <v>3953.0000000000005</v>
      </c>
      <c r="AC24" s="103">
        <f>'Total Service'!$F$3</f>
        <v>3953.0000000000005</v>
      </c>
      <c r="AD24" s="103">
        <f>'Total Service'!$F$3</f>
        <v>3953.0000000000005</v>
      </c>
      <c r="AE24" s="103">
        <f>'Total Service'!$F$3</f>
        <v>3953.0000000000005</v>
      </c>
      <c r="AF24" s="103">
        <f>'Total Service'!$F$3</f>
        <v>3953.0000000000005</v>
      </c>
      <c r="AG24" s="106">
        <f>'Total Service'!$F$3</f>
        <v>3953.0000000000005</v>
      </c>
    </row>
    <row r="25" spans="1:33" s="14" customFormat="1" ht="15">
      <c r="A25" s="100"/>
      <c r="B25" s="194"/>
      <c r="C25" s="176" t="s">
        <v>16</v>
      </c>
      <c r="D25" s="103">
        <f>'Total Service'!$F$4</f>
        <v>5215.25</v>
      </c>
      <c r="E25" s="103">
        <f>'Total Service'!$F$4</f>
        <v>5215.25</v>
      </c>
      <c r="F25" s="103">
        <f>'Total Service'!$F$4</f>
        <v>5215.25</v>
      </c>
      <c r="G25" s="103">
        <f>'Total Service'!$F$4</f>
        <v>5215.25</v>
      </c>
      <c r="H25" s="103">
        <f>'Total Service'!$F$4</f>
        <v>5215.25</v>
      </c>
      <c r="I25" s="103">
        <f>'Total Service'!$F$4</f>
        <v>5215.25</v>
      </c>
      <c r="J25" s="103">
        <f>'Total Service'!$F$4</f>
        <v>5215.25</v>
      </c>
      <c r="K25" s="103">
        <f>'Total Service'!$F$4</f>
        <v>5215.25</v>
      </c>
      <c r="L25" s="103">
        <f>'Total Service'!$F$4</f>
        <v>5215.25</v>
      </c>
      <c r="M25" s="103">
        <f>'Total Service'!$F$4</f>
        <v>5215.25</v>
      </c>
      <c r="N25" s="103">
        <f>'Total Service'!$F$4</f>
        <v>5215.25</v>
      </c>
      <c r="O25" s="103">
        <f>'Total Service'!$F$4</f>
        <v>5215.25</v>
      </c>
      <c r="P25" s="103">
        <f>'Total Service'!$F$4</f>
        <v>5215.25</v>
      </c>
      <c r="Q25" s="103">
        <f>'Total Service'!$F$4</f>
        <v>5215.25</v>
      </c>
      <c r="R25" s="103">
        <f>'Total Service'!$F$4</f>
        <v>5215.25</v>
      </c>
      <c r="S25" s="103">
        <f>'Total Service'!$F$4</f>
        <v>5215.25</v>
      </c>
      <c r="T25" s="103">
        <f>'Total Service'!$F$4</f>
        <v>5215.25</v>
      </c>
      <c r="U25" s="103">
        <f>'Total Service'!$F$4</f>
        <v>5215.25</v>
      </c>
      <c r="V25" s="103">
        <f>'Total Service'!$F$4</f>
        <v>5215.25</v>
      </c>
      <c r="W25" s="103">
        <f>'Total Service'!$F$4</f>
        <v>5215.25</v>
      </c>
      <c r="X25" s="103">
        <f>'Total Service'!$F$4</f>
        <v>5215.25</v>
      </c>
      <c r="Y25" s="103">
        <f>'Total Service'!$F$4</f>
        <v>5215.25</v>
      </c>
      <c r="Z25" s="103">
        <f>'Total Service'!$F$4</f>
        <v>5215.25</v>
      </c>
      <c r="AA25" s="103">
        <f>'Total Service'!$F$4</f>
        <v>5215.25</v>
      </c>
      <c r="AB25" s="103">
        <f>'Total Service'!$F$4</f>
        <v>5215.25</v>
      </c>
      <c r="AC25" s="103">
        <f>'Total Service'!$F$4</f>
        <v>5215.25</v>
      </c>
      <c r="AD25" s="103">
        <f>'Total Service'!$F$4</f>
        <v>5215.25</v>
      </c>
      <c r="AE25" s="103">
        <f>'Total Service'!$F$4</f>
        <v>5215.25</v>
      </c>
      <c r="AF25" s="103">
        <f>'Total Service'!$F$4</f>
        <v>5215.25</v>
      </c>
      <c r="AG25" s="106">
        <f>'Total Service'!$F$4</f>
        <v>5215.25</v>
      </c>
    </row>
    <row r="26" spans="1:33" s="14" customFormat="1" ht="15">
      <c r="A26" s="100"/>
      <c r="B26" s="194"/>
      <c r="C26" s="176" t="s">
        <v>17</v>
      </c>
      <c r="D26" s="103">
        <f>'Total Service'!$F$5</f>
        <v>4326.74693877551</v>
      </c>
      <c r="E26" s="103">
        <f>'Total Service'!$F$5</f>
        <v>4326.74693877551</v>
      </c>
      <c r="F26" s="103">
        <f>'Total Service'!$F$5</f>
        <v>4326.74693877551</v>
      </c>
      <c r="G26" s="103">
        <f>'Total Service'!$F$5</f>
        <v>4326.74693877551</v>
      </c>
      <c r="H26" s="103">
        <f>'Total Service'!$F$5</f>
        <v>4326.74693877551</v>
      </c>
      <c r="I26" s="103">
        <f>'Total Service'!$F$5</f>
        <v>4326.74693877551</v>
      </c>
      <c r="J26" s="103">
        <f>'Total Service'!$F$5</f>
        <v>4326.74693877551</v>
      </c>
      <c r="K26" s="103">
        <f>'Total Service'!$F$5</f>
        <v>4326.74693877551</v>
      </c>
      <c r="L26" s="103">
        <f>'Total Service'!$F$5</f>
        <v>4326.74693877551</v>
      </c>
      <c r="M26" s="103">
        <f>'Total Service'!$F$5</f>
        <v>4326.74693877551</v>
      </c>
      <c r="N26" s="103">
        <f>'Total Service'!$F$5</f>
        <v>4326.74693877551</v>
      </c>
      <c r="O26" s="103">
        <f>'Total Service'!$F$5</f>
        <v>4326.74693877551</v>
      </c>
      <c r="P26" s="103">
        <f>'Total Service'!$F$5</f>
        <v>4326.74693877551</v>
      </c>
      <c r="Q26" s="103">
        <f>'Total Service'!$F$5</f>
        <v>4326.74693877551</v>
      </c>
      <c r="R26" s="103">
        <f>'Total Service'!$F$5</f>
        <v>4326.74693877551</v>
      </c>
      <c r="S26" s="103">
        <f>'Total Service'!$F$5</f>
        <v>4326.74693877551</v>
      </c>
      <c r="T26" s="103">
        <f>'Total Service'!$F$5</f>
        <v>4326.74693877551</v>
      </c>
      <c r="U26" s="103">
        <f>'Total Service'!$F$5</f>
        <v>4326.74693877551</v>
      </c>
      <c r="V26" s="103">
        <f>'Total Service'!$F$5</f>
        <v>4326.74693877551</v>
      </c>
      <c r="W26" s="103">
        <f>'Total Service'!$F$5</f>
        <v>4326.74693877551</v>
      </c>
      <c r="X26" s="103">
        <f>'Total Service'!$F$5</f>
        <v>4326.74693877551</v>
      </c>
      <c r="Y26" s="103">
        <f>'Total Service'!$F$5</f>
        <v>4326.74693877551</v>
      </c>
      <c r="Z26" s="103">
        <f>'Total Service'!$F$5</f>
        <v>4326.74693877551</v>
      </c>
      <c r="AA26" s="103">
        <f>'Total Service'!$F$5</f>
        <v>4326.74693877551</v>
      </c>
      <c r="AB26" s="103">
        <f>'Total Service'!$F$5</f>
        <v>4326.74693877551</v>
      </c>
      <c r="AC26" s="103">
        <f>'Total Service'!$F$5</f>
        <v>4326.74693877551</v>
      </c>
      <c r="AD26" s="103">
        <f>'Total Service'!$F$5</f>
        <v>4326.74693877551</v>
      </c>
      <c r="AE26" s="103">
        <f>'Total Service'!$F$5</f>
        <v>4326.74693877551</v>
      </c>
      <c r="AF26" s="103">
        <f>'Total Service'!$F$5</f>
        <v>4326.74693877551</v>
      </c>
      <c r="AG26" s="106">
        <f>'Total Service'!$F$5</f>
        <v>4326.74693877551</v>
      </c>
    </row>
    <row r="27" spans="1:33" s="14" customFormat="1" ht="15">
      <c r="A27" s="100"/>
      <c r="B27" s="194"/>
      <c r="C27" s="176" t="s">
        <v>18</v>
      </c>
      <c r="D27" s="103">
        <f>'Total Service'!$F$6</f>
        <v>295</v>
      </c>
      <c r="E27" s="103">
        <f>'Total Service'!$F$6</f>
        <v>295</v>
      </c>
      <c r="F27" s="103">
        <f>'Total Service'!$F$6</f>
        <v>295</v>
      </c>
      <c r="G27" s="103">
        <f>'Total Service'!$F$6</f>
        <v>295</v>
      </c>
      <c r="H27" s="103">
        <f>'Total Service'!$F$6</f>
        <v>295</v>
      </c>
      <c r="I27" s="103">
        <f>'Total Service'!$F$6</f>
        <v>295</v>
      </c>
      <c r="J27" s="103">
        <f>'Total Service'!$F$6</f>
        <v>295</v>
      </c>
      <c r="K27" s="103">
        <f>'Total Service'!$F$6</f>
        <v>295</v>
      </c>
      <c r="L27" s="103">
        <f>'Total Service'!$F$6</f>
        <v>295</v>
      </c>
      <c r="M27" s="103">
        <f>'Total Service'!$F$6</f>
        <v>295</v>
      </c>
      <c r="N27" s="103">
        <f>'Total Service'!$F$6</f>
        <v>295</v>
      </c>
      <c r="O27" s="103">
        <f>'Total Service'!$F$6</f>
        <v>295</v>
      </c>
      <c r="P27" s="103">
        <f>'Total Service'!$F$6</f>
        <v>295</v>
      </c>
      <c r="Q27" s="103">
        <f>'Total Service'!$F$6</f>
        <v>295</v>
      </c>
      <c r="R27" s="103">
        <f>'Total Service'!$F$6</f>
        <v>295</v>
      </c>
      <c r="S27" s="103">
        <f>'Total Service'!$F$6</f>
        <v>295</v>
      </c>
      <c r="T27" s="103">
        <f>'Total Service'!$F$6</f>
        <v>295</v>
      </c>
      <c r="U27" s="103">
        <f>'Total Service'!$F$6</f>
        <v>295</v>
      </c>
      <c r="V27" s="103">
        <f>'Total Service'!$F$6</f>
        <v>295</v>
      </c>
      <c r="W27" s="103">
        <f>'Total Service'!$F$6</f>
        <v>295</v>
      </c>
      <c r="X27" s="103">
        <f>'Total Service'!$F$6</f>
        <v>295</v>
      </c>
      <c r="Y27" s="103">
        <f>'Total Service'!$F$6</f>
        <v>295</v>
      </c>
      <c r="Z27" s="103">
        <f>'Total Service'!$F$6</f>
        <v>295</v>
      </c>
      <c r="AA27" s="103">
        <f>'Total Service'!$F$6</f>
        <v>295</v>
      </c>
      <c r="AB27" s="103">
        <f>'Total Service'!$F$6</f>
        <v>295</v>
      </c>
      <c r="AC27" s="103">
        <f>'Total Service'!$F$6</f>
        <v>295</v>
      </c>
      <c r="AD27" s="103">
        <f>'Total Service'!$F$6</f>
        <v>295</v>
      </c>
      <c r="AE27" s="103">
        <f>'Total Service'!$F$6</f>
        <v>295</v>
      </c>
      <c r="AF27" s="103">
        <f>'Total Service'!$F$6</f>
        <v>295</v>
      </c>
      <c r="AG27" s="106">
        <f>'Total Service'!$F$6</f>
        <v>295</v>
      </c>
    </row>
    <row r="28" spans="1:33" s="14" customFormat="1" ht="15">
      <c r="A28" s="100"/>
      <c r="B28" s="194"/>
      <c r="C28" s="176" t="s">
        <v>19</v>
      </c>
      <c r="D28" s="103">
        <f>'Total Service'!$F$7</f>
        <v>42480</v>
      </c>
      <c r="E28" s="103">
        <f>'Total Service'!$F$7</f>
        <v>42480</v>
      </c>
      <c r="F28" s="103">
        <f>'Total Service'!$F$7</f>
        <v>42480</v>
      </c>
      <c r="G28" s="103">
        <f>'Total Service'!$F$7</f>
        <v>42480</v>
      </c>
      <c r="H28" s="103">
        <f>'Total Service'!$F$7</f>
        <v>42480</v>
      </c>
      <c r="I28" s="103">
        <f>'Total Service'!$F$7</f>
        <v>42480</v>
      </c>
      <c r="J28" s="103">
        <f>'Total Service'!$F$7</f>
        <v>42480</v>
      </c>
      <c r="K28" s="103">
        <f>'Total Service'!$F$7</f>
        <v>42480</v>
      </c>
      <c r="L28" s="103">
        <f>'Total Service'!$F$7</f>
        <v>42480</v>
      </c>
      <c r="M28" s="103">
        <f>'Total Service'!$F$7</f>
        <v>42480</v>
      </c>
      <c r="N28" s="103">
        <f>'Total Service'!$F$7</f>
        <v>42480</v>
      </c>
      <c r="O28" s="103">
        <f>'Total Service'!$F$7</f>
        <v>42480</v>
      </c>
      <c r="P28" s="103">
        <f>'Total Service'!$F$7</f>
        <v>42480</v>
      </c>
      <c r="Q28" s="103">
        <f>'Total Service'!$F$7</f>
        <v>42480</v>
      </c>
      <c r="R28" s="103">
        <f>'Total Service'!$F$7</f>
        <v>42480</v>
      </c>
      <c r="S28" s="103">
        <f>'Total Service'!$F$7</f>
        <v>42480</v>
      </c>
      <c r="T28" s="103">
        <f>'Total Service'!$F$7</f>
        <v>42480</v>
      </c>
      <c r="U28" s="103">
        <f>'Total Service'!$F$7</f>
        <v>42480</v>
      </c>
      <c r="V28" s="103">
        <f>'Total Service'!$F$7</f>
        <v>42480</v>
      </c>
      <c r="W28" s="103">
        <f>'Total Service'!$F$7</f>
        <v>42480</v>
      </c>
      <c r="X28" s="103">
        <f>'Total Service'!$F$7</f>
        <v>42480</v>
      </c>
      <c r="Y28" s="103">
        <f>'Total Service'!$F$7</f>
        <v>42480</v>
      </c>
      <c r="Z28" s="103">
        <f>'Total Service'!$F$7</f>
        <v>42480</v>
      </c>
      <c r="AA28" s="103">
        <f>'Total Service'!$F$7</f>
        <v>42480</v>
      </c>
      <c r="AB28" s="103">
        <f>'Total Service'!$F$7</f>
        <v>42480</v>
      </c>
      <c r="AC28" s="103">
        <f>'Total Service'!$F$7</f>
        <v>42480</v>
      </c>
      <c r="AD28" s="103">
        <f>'Total Service'!$F$7</f>
        <v>42480</v>
      </c>
      <c r="AE28" s="103">
        <f>'Total Service'!$F$7</f>
        <v>42480</v>
      </c>
      <c r="AF28" s="103">
        <f>'Total Service'!$F$7</f>
        <v>42480</v>
      </c>
      <c r="AG28" s="106">
        <f>'Total Service'!$F$7</f>
        <v>42480</v>
      </c>
    </row>
    <row r="29" spans="1:33" s="14" customFormat="1" ht="15">
      <c r="A29" s="100"/>
      <c r="B29" s="194"/>
      <c r="C29" s="176" t="s">
        <v>132</v>
      </c>
      <c r="D29" s="103">
        <f>Parks!$C$2*Parks!$C$3*'Pro Forma'!D4</f>
        <v>7620</v>
      </c>
      <c r="E29" s="103">
        <f>Parks!$C$2*Parks!$C$3*'Pro Forma'!E4</f>
        <v>15240</v>
      </c>
      <c r="F29" s="103">
        <f>Parks!$C$2*Parks!$C$3*'Pro Forma'!F4</f>
        <v>22860</v>
      </c>
      <c r="G29" s="103">
        <f>Parks!$C$2*Parks!$C$3*'Pro Forma'!G4</f>
        <v>23876</v>
      </c>
      <c r="H29" s="103">
        <f>Parks!$C$2*Parks!$C$3*'Pro Forma'!H4</f>
        <v>23876</v>
      </c>
      <c r="I29" s="103">
        <f>Parks!$C$2*Parks!$C$3*'Pro Forma'!I4</f>
        <v>23876</v>
      </c>
      <c r="J29" s="103">
        <f>Parks!$C$2*Parks!$C$3*'Pro Forma'!J4</f>
        <v>23876</v>
      </c>
      <c r="K29" s="103">
        <f>Parks!$C$2*Parks!$C$3*'Pro Forma'!K4</f>
        <v>23876</v>
      </c>
      <c r="L29" s="103">
        <f>Parks!$C$2*Parks!$C$3*'Pro Forma'!L4</f>
        <v>23876</v>
      </c>
      <c r="M29" s="103">
        <f>Parks!$C$2*Parks!$C$3*'Pro Forma'!M4</f>
        <v>23876</v>
      </c>
      <c r="N29" s="103">
        <f>Parks!$C$2*Parks!$C$3*'Pro Forma'!N4</f>
        <v>23876</v>
      </c>
      <c r="O29" s="103">
        <f>Parks!$C$2*Parks!$C$3*'Pro Forma'!O4</f>
        <v>23876</v>
      </c>
      <c r="P29" s="103">
        <f>Parks!$C$2*Parks!$C$3*'Pro Forma'!P4</f>
        <v>23876</v>
      </c>
      <c r="Q29" s="103">
        <f>Parks!$C$2*Parks!$C$3*'Pro Forma'!Q4</f>
        <v>23876</v>
      </c>
      <c r="R29" s="103">
        <f>Parks!$C$2*Parks!$C$3*'Pro Forma'!R4</f>
        <v>23876</v>
      </c>
      <c r="S29" s="103">
        <f>Parks!$C$2*Parks!$C$3*'Pro Forma'!S4</f>
        <v>23876</v>
      </c>
      <c r="T29" s="103">
        <f>Parks!$C$2*Parks!$C$3*'Pro Forma'!T4</f>
        <v>23876</v>
      </c>
      <c r="U29" s="103">
        <f>Parks!$C$2*Parks!$C$3*'Pro Forma'!U4</f>
        <v>23876</v>
      </c>
      <c r="V29" s="103">
        <f>Parks!$C$2*Parks!$C$3*'Pro Forma'!V4</f>
        <v>23876</v>
      </c>
      <c r="W29" s="103">
        <f>Parks!$C$2*Parks!$C$3*'Pro Forma'!W4</f>
        <v>23876</v>
      </c>
      <c r="X29" s="103">
        <f>Parks!$C$2*Parks!$C$3*'Pro Forma'!X4</f>
        <v>23876</v>
      </c>
      <c r="Y29" s="103">
        <f>Parks!$C$2*Parks!$C$3*'Pro Forma'!Y4</f>
        <v>23876</v>
      </c>
      <c r="Z29" s="103">
        <f>Parks!$C$2*Parks!$C$3*'Pro Forma'!Z4</f>
        <v>23876</v>
      </c>
      <c r="AA29" s="103">
        <f>Parks!$C$2*Parks!$C$3*'Pro Forma'!AA4</f>
        <v>23876</v>
      </c>
      <c r="AB29" s="103">
        <f>Parks!$C$2*Parks!$C$3*'Pro Forma'!AB4</f>
        <v>23876</v>
      </c>
      <c r="AC29" s="103">
        <f>Parks!$C$2*Parks!$C$3*'Pro Forma'!AC4</f>
        <v>23876</v>
      </c>
      <c r="AD29" s="103">
        <f>Parks!$C$2*Parks!$C$3*'Pro Forma'!AD4</f>
        <v>23876</v>
      </c>
      <c r="AE29" s="103">
        <f>Parks!$C$2*Parks!$C$3*'Pro Forma'!AE4</f>
        <v>23876</v>
      </c>
      <c r="AF29" s="103">
        <f>Parks!$C$2*Parks!$C$3*'Pro Forma'!AF4</f>
        <v>23876</v>
      </c>
      <c r="AG29" s="106">
        <f>Parks!$C$2*Parks!$C$3*'Pro Forma'!AG4</f>
        <v>23876</v>
      </c>
    </row>
    <row r="30" spans="1:33" s="14" customFormat="1" ht="15">
      <c r="A30" s="100"/>
      <c r="B30" s="194"/>
      <c r="C30" s="176" t="s">
        <v>20</v>
      </c>
      <c r="D30" s="103">
        <f>Parks!$D$13</f>
        <v>568.1818181818182</v>
      </c>
      <c r="E30" s="103">
        <f>Parks!$D$13</f>
        <v>568.1818181818182</v>
      </c>
      <c r="F30" s="103">
        <f>Parks!$D$13</f>
        <v>568.1818181818182</v>
      </c>
      <c r="G30" s="103">
        <f>Parks!$D$13</f>
        <v>568.1818181818182</v>
      </c>
      <c r="H30" s="103">
        <f>Parks!$D$13</f>
        <v>568.1818181818182</v>
      </c>
      <c r="I30" s="103">
        <f>Parks!$D$13</f>
        <v>568.1818181818182</v>
      </c>
      <c r="J30" s="103">
        <f>Parks!$D$13</f>
        <v>568.1818181818182</v>
      </c>
      <c r="K30" s="103">
        <f>Parks!$D$13</f>
        <v>568.1818181818182</v>
      </c>
      <c r="L30" s="103">
        <f>Parks!$D$13</f>
        <v>568.1818181818182</v>
      </c>
      <c r="M30" s="103">
        <f>Parks!$D$13</f>
        <v>568.1818181818182</v>
      </c>
      <c r="N30" s="103">
        <f>Parks!$D$13</f>
        <v>568.1818181818182</v>
      </c>
      <c r="O30" s="103">
        <f>Parks!$D$13</f>
        <v>568.1818181818182</v>
      </c>
      <c r="P30" s="103">
        <f>Parks!$D$13</f>
        <v>568.1818181818182</v>
      </c>
      <c r="Q30" s="103">
        <f>Parks!$D$13</f>
        <v>568.1818181818182</v>
      </c>
      <c r="R30" s="103">
        <f>Parks!$D$13</f>
        <v>568.1818181818182</v>
      </c>
      <c r="S30" s="103">
        <f>Parks!$D$13</f>
        <v>568.1818181818182</v>
      </c>
      <c r="T30" s="103">
        <f>Parks!$D$13</f>
        <v>568.1818181818182</v>
      </c>
      <c r="U30" s="103">
        <f>Parks!$D$13</f>
        <v>568.1818181818182</v>
      </c>
      <c r="V30" s="103">
        <f>Parks!$D$13</f>
        <v>568.1818181818182</v>
      </c>
      <c r="W30" s="103">
        <f>Parks!$D$13</f>
        <v>568.1818181818182</v>
      </c>
      <c r="X30" s="103">
        <f>Parks!$D$13</f>
        <v>568.1818181818182</v>
      </c>
      <c r="Y30" s="103">
        <f>Parks!$D$13</f>
        <v>568.1818181818182</v>
      </c>
      <c r="Z30" s="103">
        <f>Parks!$D$13</f>
        <v>568.1818181818182</v>
      </c>
      <c r="AA30" s="103">
        <f>Parks!$D$13</f>
        <v>568.1818181818182</v>
      </c>
      <c r="AB30" s="103">
        <f>Parks!$D$13</f>
        <v>568.1818181818182</v>
      </c>
      <c r="AC30" s="103">
        <f>Parks!$D$13</f>
        <v>568.1818181818182</v>
      </c>
      <c r="AD30" s="103">
        <f>Parks!$D$13</f>
        <v>568.1818181818182</v>
      </c>
      <c r="AE30" s="103">
        <f>Parks!$D$13</f>
        <v>568.1818181818182</v>
      </c>
      <c r="AF30" s="103">
        <f>Parks!$D$13</f>
        <v>568.1818181818182</v>
      </c>
      <c r="AG30" s="106">
        <f>Parks!$D$13</f>
        <v>568.1818181818182</v>
      </c>
    </row>
    <row r="31" spans="1:33" s="14" customFormat="1" ht="15.75" thickBot="1">
      <c r="A31" s="100"/>
      <c r="B31" s="194"/>
      <c r="C31" s="177" t="s">
        <v>36</v>
      </c>
      <c r="D31" s="37">
        <f>Police!$C$11*'Pro Forma'!D4</f>
        <v>3731.2374581939803</v>
      </c>
      <c r="E31" s="37">
        <f>Police!$C$11*'Pro Forma'!E4</f>
        <v>7462.474916387961</v>
      </c>
      <c r="F31" s="37">
        <f>Police!$C$11*'Pro Forma'!F4</f>
        <v>11193.71237458194</v>
      </c>
      <c r="G31" s="37">
        <f>Police!$C$11*'Pro Forma'!G4</f>
        <v>11691.210702341137</v>
      </c>
      <c r="H31" s="37">
        <f>Police!$C$11*'Pro Forma'!H4</f>
        <v>11691.210702341137</v>
      </c>
      <c r="I31" s="37">
        <f>Police!$C$11*'Pro Forma'!I4</f>
        <v>11691.210702341137</v>
      </c>
      <c r="J31" s="37">
        <f>Police!$C$11*'Pro Forma'!J4</f>
        <v>11691.210702341137</v>
      </c>
      <c r="K31" s="37">
        <f>Police!$C$11*'Pro Forma'!K4</f>
        <v>11691.210702341137</v>
      </c>
      <c r="L31" s="37">
        <f>Police!$C$11*'Pro Forma'!L4</f>
        <v>11691.210702341137</v>
      </c>
      <c r="M31" s="37">
        <f>Police!$C$11*'Pro Forma'!M4</f>
        <v>11691.210702341137</v>
      </c>
      <c r="N31" s="37">
        <f>Police!$C$11*'Pro Forma'!N4</f>
        <v>11691.210702341137</v>
      </c>
      <c r="O31" s="37">
        <f>Police!$C$11*'Pro Forma'!O4</f>
        <v>11691.210702341137</v>
      </c>
      <c r="P31" s="37">
        <f>Police!$C$11*'Pro Forma'!P4</f>
        <v>11691.210702341137</v>
      </c>
      <c r="Q31" s="37">
        <f>Police!$C$11*'Pro Forma'!Q4</f>
        <v>11691.210702341137</v>
      </c>
      <c r="R31" s="37">
        <f>Police!$C$11*'Pro Forma'!R4</f>
        <v>11691.210702341137</v>
      </c>
      <c r="S31" s="37">
        <f>Police!$C$11*'Pro Forma'!S4</f>
        <v>11691.210702341137</v>
      </c>
      <c r="T31" s="37">
        <f>Police!$C$11*'Pro Forma'!T4</f>
        <v>11691.210702341137</v>
      </c>
      <c r="U31" s="37">
        <f>Police!$C$11*'Pro Forma'!U4</f>
        <v>11691.210702341137</v>
      </c>
      <c r="V31" s="37">
        <f>Police!$C$11*'Pro Forma'!V4</f>
        <v>11691.210702341137</v>
      </c>
      <c r="W31" s="37">
        <f>Police!$C$11*'Pro Forma'!W4</f>
        <v>11691.210702341137</v>
      </c>
      <c r="X31" s="37">
        <f>Police!$C$11*'Pro Forma'!X4</f>
        <v>11691.210702341137</v>
      </c>
      <c r="Y31" s="37">
        <f>Police!$C$11*'Pro Forma'!Y4</f>
        <v>11691.210702341137</v>
      </c>
      <c r="Z31" s="37">
        <f>Police!$C$11*'Pro Forma'!Z4</f>
        <v>11691.210702341137</v>
      </c>
      <c r="AA31" s="37">
        <f>Police!$C$11*'Pro Forma'!AA4</f>
        <v>11691.210702341137</v>
      </c>
      <c r="AB31" s="37">
        <f>Police!$C$11*'Pro Forma'!AB4</f>
        <v>11691.210702341137</v>
      </c>
      <c r="AC31" s="37">
        <f>Police!$C$11*'Pro Forma'!AC4</f>
        <v>11691.210702341137</v>
      </c>
      <c r="AD31" s="37">
        <f>Police!$C$11*'Pro Forma'!AD4</f>
        <v>11691.210702341137</v>
      </c>
      <c r="AE31" s="37">
        <f>Police!$C$11*'Pro Forma'!AE4</f>
        <v>11691.210702341137</v>
      </c>
      <c r="AF31" s="37">
        <f>Police!$C$11*'Pro Forma'!AF4</f>
        <v>11691.210702341137</v>
      </c>
      <c r="AG31" s="38">
        <f>Police!$C$11*'Pro Forma'!AG4</f>
        <v>11691.210702341137</v>
      </c>
    </row>
    <row r="32" spans="2:33" s="100" customFormat="1" ht="15.75" thickBot="1">
      <c r="B32" s="194"/>
      <c r="C32" s="11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</row>
    <row r="33" spans="1:33" s="14" customFormat="1" ht="15">
      <c r="A33" s="100"/>
      <c r="B33" s="194"/>
      <c r="C33" s="101" t="s">
        <v>137</v>
      </c>
      <c r="D33" s="35">
        <f aca="true" t="shared" si="11" ref="D33:AG33">11063*0.5*D4</f>
        <v>165945</v>
      </c>
      <c r="E33" s="35">
        <f t="shared" si="11"/>
        <v>331890</v>
      </c>
      <c r="F33" s="35">
        <f t="shared" si="11"/>
        <v>497835</v>
      </c>
      <c r="G33" s="35">
        <f t="shared" si="11"/>
        <v>519961</v>
      </c>
      <c r="H33" s="35">
        <f t="shared" si="11"/>
        <v>519961</v>
      </c>
      <c r="I33" s="35">
        <f t="shared" si="11"/>
        <v>519961</v>
      </c>
      <c r="J33" s="35">
        <f t="shared" si="11"/>
        <v>519961</v>
      </c>
      <c r="K33" s="35">
        <f t="shared" si="11"/>
        <v>519961</v>
      </c>
      <c r="L33" s="35">
        <f t="shared" si="11"/>
        <v>519961</v>
      </c>
      <c r="M33" s="35">
        <f t="shared" si="11"/>
        <v>519961</v>
      </c>
      <c r="N33" s="35">
        <f t="shared" si="11"/>
        <v>519961</v>
      </c>
      <c r="O33" s="35">
        <f t="shared" si="11"/>
        <v>519961</v>
      </c>
      <c r="P33" s="35">
        <f t="shared" si="11"/>
        <v>519961</v>
      </c>
      <c r="Q33" s="35">
        <f t="shared" si="11"/>
        <v>519961</v>
      </c>
      <c r="R33" s="35">
        <f t="shared" si="11"/>
        <v>519961</v>
      </c>
      <c r="S33" s="35">
        <f t="shared" si="11"/>
        <v>519961</v>
      </c>
      <c r="T33" s="35">
        <f t="shared" si="11"/>
        <v>519961</v>
      </c>
      <c r="U33" s="35">
        <f t="shared" si="11"/>
        <v>519961</v>
      </c>
      <c r="V33" s="35">
        <f t="shared" si="11"/>
        <v>519961</v>
      </c>
      <c r="W33" s="35">
        <f t="shared" si="11"/>
        <v>519961</v>
      </c>
      <c r="X33" s="35">
        <f t="shared" si="11"/>
        <v>519961</v>
      </c>
      <c r="Y33" s="35">
        <f t="shared" si="11"/>
        <v>519961</v>
      </c>
      <c r="Z33" s="35">
        <f t="shared" si="11"/>
        <v>519961</v>
      </c>
      <c r="AA33" s="35">
        <f t="shared" si="11"/>
        <v>519961</v>
      </c>
      <c r="AB33" s="35">
        <f t="shared" si="11"/>
        <v>519961</v>
      </c>
      <c r="AC33" s="35">
        <f t="shared" si="11"/>
        <v>519961</v>
      </c>
      <c r="AD33" s="35">
        <f t="shared" si="11"/>
        <v>519961</v>
      </c>
      <c r="AE33" s="35">
        <f t="shared" si="11"/>
        <v>519961</v>
      </c>
      <c r="AF33" s="35">
        <f t="shared" si="11"/>
        <v>519961</v>
      </c>
      <c r="AG33" s="36">
        <f t="shared" si="11"/>
        <v>519961</v>
      </c>
    </row>
    <row r="34" spans="1:33" s="13" customFormat="1" ht="15.75" thickBot="1">
      <c r="A34" s="107"/>
      <c r="B34" s="194"/>
      <c r="C34" s="177" t="s">
        <v>138</v>
      </c>
      <c r="D34" s="37">
        <f aca="true" t="shared" si="12" ref="D34:AG34">D6-D33</f>
        <v>33629.644499999995</v>
      </c>
      <c r="E34" s="37">
        <f t="shared" si="12"/>
        <v>67259.28899999999</v>
      </c>
      <c r="F34" s="37">
        <f t="shared" si="12"/>
        <v>100888.93350000004</v>
      </c>
      <c r="G34" s="37">
        <f t="shared" si="12"/>
        <v>105372.8861</v>
      </c>
      <c r="H34" s="37">
        <f t="shared" si="12"/>
        <v>105372.8861</v>
      </c>
      <c r="I34" s="37">
        <f t="shared" si="12"/>
        <v>105372.8861</v>
      </c>
      <c r="J34" s="37">
        <f t="shared" si="12"/>
        <v>105372.8861</v>
      </c>
      <c r="K34" s="37">
        <f t="shared" si="12"/>
        <v>105372.8861</v>
      </c>
      <c r="L34" s="37">
        <f t="shared" si="12"/>
        <v>105372.8861</v>
      </c>
      <c r="M34" s="37">
        <f t="shared" si="12"/>
        <v>105372.8861</v>
      </c>
      <c r="N34" s="37">
        <f t="shared" si="12"/>
        <v>105372.8861</v>
      </c>
      <c r="O34" s="37">
        <f t="shared" si="12"/>
        <v>105372.8861</v>
      </c>
      <c r="P34" s="37">
        <f t="shared" si="12"/>
        <v>105372.8861</v>
      </c>
      <c r="Q34" s="37">
        <f t="shared" si="12"/>
        <v>105372.8861</v>
      </c>
      <c r="R34" s="37">
        <f t="shared" si="12"/>
        <v>105372.8861</v>
      </c>
      <c r="S34" s="37">
        <f t="shared" si="12"/>
        <v>105372.8861</v>
      </c>
      <c r="T34" s="37">
        <f t="shared" si="12"/>
        <v>105372.8861</v>
      </c>
      <c r="U34" s="37">
        <f t="shared" si="12"/>
        <v>105372.8861</v>
      </c>
      <c r="V34" s="37">
        <f t="shared" si="12"/>
        <v>105372.8861</v>
      </c>
      <c r="W34" s="37">
        <f t="shared" si="12"/>
        <v>105372.8861</v>
      </c>
      <c r="X34" s="37">
        <f t="shared" si="12"/>
        <v>105372.8861</v>
      </c>
      <c r="Y34" s="37">
        <f t="shared" si="12"/>
        <v>105372.8861</v>
      </c>
      <c r="Z34" s="37">
        <f t="shared" si="12"/>
        <v>105372.8861</v>
      </c>
      <c r="AA34" s="37">
        <f t="shared" si="12"/>
        <v>105372.8861</v>
      </c>
      <c r="AB34" s="37">
        <f t="shared" si="12"/>
        <v>105372.8861</v>
      </c>
      <c r="AC34" s="37">
        <f t="shared" si="12"/>
        <v>105372.8861</v>
      </c>
      <c r="AD34" s="37">
        <f t="shared" si="12"/>
        <v>105372.8861</v>
      </c>
      <c r="AE34" s="37">
        <f t="shared" si="12"/>
        <v>105372.8861</v>
      </c>
      <c r="AF34" s="37">
        <f t="shared" si="12"/>
        <v>105372.8861</v>
      </c>
      <c r="AG34" s="38">
        <f t="shared" si="12"/>
        <v>105372.8861</v>
      </c>
    </row>
    <row r="35" spans="2:33" s="107" customFormat="1" ht="15.75" thickBot="1">
      <c r="B35" s="194"/>
      <c r="C35" s="111"/>
      <c r="D35" s="122"/>
      <c r="E35" s="119"/>
      <c r="F35" s="119"/>
      <c r="G35" s="124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5"/>
    </row>
    <row r="36" spans="1:33" s="160" customFormat="1" ht="15.75" thickBot="1">
      <c r="A36" s="107"/>
      <c r="B36" s="194"/>
      <c r="C36" s="178" t="s">
        <v>151</v>
      </c>
      <c r="D36" s="161">
        <f>SUM(D23:D31)</f>
        <v>70189.41621515132</v>
      </c>
      <c r="E36" s="161">
        <f aca="true" t="shared" si="13" ref="E36:AG36">SUM(E23:E31)</f>
        <v>81540.6536733453</v>
      </c>
      <c r="F36" s="161">
        <f t="shared" si="13"/>
        <v>92891.89113153928</v>
      </c>
      <c r="G36" s="161">
        <f t="shared" si="13"/>
        <v>94405.38945929847</v>
      </c>
      <c r="H36" s="161">
        <f t="shared" si="13"/>
        <v>94405.38945929847</v>
      </c>
      <c r="I36" s="161">
        <f t="shared" si="13"/>
        <v>94405.38945929847</v>
      </c>
      <c r="J36" s="161">
        <f t="shared" si="13"/>
        <v>94405.38945929847</v>
      </c>
      <c r="K36" s="161">
        <f t="shared" si="13"/>
        <v>94405.38945929847</v>
      </c>
      <c r="L36" s="161">
        <f t="shared" si="13"/>
        <v>94405.38945929847</v>
      </c>
      <c r="M36" s="161">
        <f t="shared" si="13"/>
        <v>94405.38945929847</v>
      </c>
      <c r="N36" s="161">
        <f t="shared" si="13"/>
        <v>94405.38945929847</v>
      </c>
      <c r="O36" s="161">
        <f t="shared" si="13"/>
        <v>94405.38945929847</v>
      </c>
      <c r="P36" s="161">
        <f t="shared" si="13"/>
        <v>94405.38945929847</v>
      </c>
      <c r="Q36" s="161">
        <f t="shared" si="13"/>
        <v>94405.38945929847</v>
      </c>
      <c r="R36" s="161">
        <f t="shared" si="13"/>
        <v>94405.38945929847</v>
      </c>
      <c r="S36" s="161">
        <f t="shared" si="13"/>
        <v>94405.38945929847</v>
      </c>
      <c r="T36" s="161">
        <f t="shared" si="13"/>
        <v>94405.38945929847</v>
      </c>
      <c r="U36" s="161">
        <f t="shared" si="13"/>
        <v>94405.38945929847</v>
      </c>
      <c r="V36" s="161">
        <f t="shared" si="13"/>
        <v>94405.38945929847</v>
      </c>
      <c r="W36" s="161">
        <f t="shared" si="13"/>
        <v>94405.38945929847</v>
      </c>
      <c r="X36" s="161">
        <f t="shared" si="13"/>
        <v>94405.38945929847</v>
      </c>
      <c r="Y36" s="161">
        <f t="shared" si="13"/>
        <v>94405.38945929847</v>
      </c>
      <c r="Z36" s="161">
        <f t="shared" si="13"/>
        <v>94405.38945929847</v>
      </c>
      <c r="AA36" s="161">
        <f t="shared" si="13"/>
        <v>94405.38945929847</v>
      </c>
      <c r="AB36" s="161">
        <f t="shared" si="13"/>
        <v>94405.38945929847</v>
      </c>
      <c r="AC36" s="161">
        <f t="shared" si="13"/>
        <v>94405.38945929847</v>
      </c>
      <c r="AD36" s="161">
        <f t="shared" si="13"/>
        <v>94405.38945929847</v>
      </c>
      <c r="AE36" s="161">
        <f t="shared" si="13"/>
        <v>94405.38945929847</v>
      </c>
      <c r="AF36" s="161">
        <f t="shared" si="13"/>
        <v>94405.38945929847</v>
      </c>
      <c r="AG36" s="162">
        <f t="shared" si="13"/>
        <v>94405.38945929847</v>
      </c>
    </row>
    <row r="37" spans="1:33" s="120" customFormat="1" ht="15.75" thickBot="1">
      <c r="A37" s="119"/>
      <c r="B37" s="195"/>
      <c r="C37" s="179" t="s">
        <v>158</v>
      </c>
      <c r="D37" s="121">
        <f>SUM(D36:AG36)</f>
        <v>2793567.4764210945</v>
      </c>
      <c r="E37" s="108"/>
      <c r="F37" s="108"/>
      <c r="G37" s="109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10"/>
    </row>
    <row r="38" spans="1:33" s="142" customFormat="1" ht="21">
      <c r="A38" s="119"/>
      <c r="B38" s="143"/>
      <c r="C38" s="157" t="s">
        <v>176</v>
      </c>
      <c r="D38" s="158">
        <f>G19-G36</f>
        <v>33361.76054070152</v>
      </c>
      <c r="E38" s="144"/>
      <c r="F38" s="144"/>
      <c r="G38" s="145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</row>
    <row r="39" spans="1:33" s="142" customFormat="1" ht="21">
      <c r="A39" s="119"/>
      <c r="B39" s="143"/>
      <c r="C39" s="157" t="s">
        <v>165</v>
      </c>
      <c r="D39" s="158">
        <f>D20-D37</f>
        <v>900806.0735789058</v>
      </c>
      <c r="E39" s="144"/>
      <c r="F39" s="144"/>
      <c r="G39" s="14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</row>
    <row r="40" s="146" customFormat="1" ht="15">
      <c r="A40" s="107"/>
    </row>
    <row r="41" spans="1:33" s="147" customFormat="1" ht="15" hidden="1">
      <c r="A41" s="100"/>
      <c r="B41" s="187" t="s">
        <v>153</v>
      </c>
      <c r="C41" s="148" t="s">
        <v>154</v>
      </c>
      <c r="D41" s="149">
        <f aca="true" t="shared" si="14" ref="D41:AG41">D19-D36</f>
        <v>-29412.666215151316</v>
      </c>
      <c r="E41" s="149">
        <f t="shared" si="14"/>
        <v>12.846326654704171</v>
      </c>
      <c r="F41" s="149">
        <f t="shared" si="14"/>
        <v>29438.358868460724</v>
      </c>
      <c r="G41" s="149">
        <f t="shared" si="14"/>
        <v>33361.76054070152</v>
      </c>
      <c r="H41" s="149">
        <f t="shared" si="14"/>
        <v>33361.76054070152</v>
      </c>
      <c r="I41" s="149">
        <f t="shared" si="14"/>
        <v>33361.76054070152</v>
      </c>
      <c r="J41" s="149">
        <f t="shared" si="14"/>
        <v>33361.76054070152</v>
      </c>
      <c r="K41" s="149">
        <f t="shared" si="14"/>
        <v>33361.76054070152</v>
      </c>
      <c r="L41" s="149">
        <f t="shared" si="14"/>
        <v>33361.76054070152</v>
      </c>
      <c r="M41" s="149">
        <f t="shared" si="14"/>
        <v>33361.76054070152</v>
      </c>
      <c r="N41" s="149">
        <f t="shared" si="14"/>
        <v>33361.76054070152</v>
      </c>
      <c r="O41" s="149">
        <f t="shared" si="14"/>
        <v>33361.76054070152</v>
      </c>
      <c r="P41" s="149">
        <f t="shared" si="14"/>
        <v>33361.76054070152</v>
      </c>
      <c r="Q41" s="149">
        <f t="shared" si="14"/>
        <v>33361.76054070152</v>
      </c>
      <c r="R41" s="149">
        <f t="shared" si="14"/>
        <v>33361.76054070152</v>
      </c>
      <c r="S41" s="149">
        <f t="shared" si="14"/>
        <v>33361.76054070152</v>
      </c>
      <c r="T41" s="149">
        <f t="shared" si="14"/>
        <v>33361.76054070152</v>
      </c>
      <c r="U41" s="149">
        <f t="shared" si="14"/>
        <v>33361.76054070152</v>
      </c>
      <c r="V41" s="149">
        <f t="shared" si="14"/>
        <v>33361.76054070152</v>
      </c>
      <c r="W41" s="149">
        <f t="shared" si="14"/>
        <v>33361.76054070152</v>
      </c>
      <c r="X41" s="149">
        <f t="shared" si="14"/>
        <v>33361.76054070152</v>
      </c>
      <c r="Y41" s="149">
        <f t="shared" si="14"/>
        <v>33361.76054070152</v>
      </c>
      <c r="Z41" s="149">
        <f t="shared" si="14"/>
        <v>33361.76054070152</v>
      </c>
      <c r="AA41" s="149">
        <f t="shared" si="14"/>
        <v>33361.76054070152</v>
      </c>
      <c r="AB41" s="149">
        <f t="shared" si="14"/>
        <v>33361.76054070152</v>
      </c>
      <c r="AC41" s="149">
        <f t="shared" si="14"/>
        <v>33361.76054070152</v>
      </c>
      <c r="AD41" s="149">
        <f t="shared" si="14"/>
        <v>33361.76054070152</v>
      </c>
      <c r="AE41" s="149">
        <f t="shared" si="14"/>
        <v>33361.76054070152</v>
      </c>
      <c r="AF41" s="149">
        <f t="shared" si="14"/>
        <v>33361.76054070152</v>
      </c>
      <c r="AG41" s="150">
        <f t="shared" si="14"/>
        <v>33361.76054070152</v>
      </c>
    </row>
    <row r="42" spans="1:33" s="147" customFormat="1" ht="15.75" hidden="1" thickBot="1">
      <c r="A42" s="100"/>
      <c r="B42" s="188"/>
      <c r="C42" s="151" t="s">
        <v>155</v>
      </c>
      <c r="D42" s="144">
        <f aca="true" t="shared" si="15" ref="D42:AG42">D41/D4</f>
        <v>-980.4222071717105</v>
      </c>
      <c r="E42" s="144">
        <f t="shared" si="15"/>
        <v>0.21410544424506953</v>
      </c>
      <c r="F42" s="144">
        <f t="shared" si="15"/>
        <v>327.0928763162303</v>
      </c>
      <c r="G42" s="144">
        <f t="shared" si="15"/>
        <v>354.9123461776758</v>
      </c>
      <c r="H42" s="144">
        <f t="shared" si="15"/>
        <v>354.9123461776758</v>
      </c>
      <c r="I42" s="144">
        <f t="shared" si="15"/>
        <v>354.9123461776758</v>
      </c>
      <c r="J42" s="144">
        <f t="shared" si="15"/>
        <v>354.9123461776758</v>
      </c>
      <c r="K42" s="144">
        <f t="shared" si="15"/>
        <v>354.9123461776758</v>
      </c>
      <c r="L42" s="144">
        <f t="shared" si="15"/>
        <v>354.9123461776758</v>
      </c>
      <c r="M42" s="144">
        <f t="shared" si="15"/>
        <v>354.9123461776758</v>
      </c>
      <c r="N42" s="144">
        <f t="shared" si="15"/>
        <v>354.9123461776758</v>
      </c>
      <c r="O42" s="144">
        <f t="shared" si="15"/>
        <v>354.9123461776758</v>
      </c>
      <c r="P42" s="144">
        <f t="shared" si="15"/>
        <v>354.9123461776758</v>
      </c>
      <c r="Q42" s="144">
        <f t="shared" si="15"/>
        <v>354.9123461776758</v>
      </c>
      <c r="R42" s="144">
        <f t="shared" si="15"/>
        <v>354.9123461776758</v>
      </c>
      <c r="S42" s="144">
        <f t="shared" si="15"/>
        <v>354.9123461776758</v>
      </c>
      <c r="T42" s="144">
        <f t="shared" si="15"/>
        <v>354.9123461776758</v>
      </c>
      <c r="U42" s="144">
        <f t="shared" si="15"/>
        <v>354.9123461776758</v>
      </c>
      <c r="V42" s="144">
        <f t="shared" si="15"/>
        <v>354.9123461776758</v>
      </c>
      <c r="W42" s="144">
        <f t="shared" si="15"/>
        <v>354.9123461776758</v>
      </c>
      <c r="X42" s="144">
        <f t="shared" si="15"/>
        <v>354.9123461776758</v>
      </c>
      <c r="Y42" s="144">
        <f t="shared" si="15"/>
        <v>354.9123461776758</v>
      </c>
      <c r="Z42" s="144">
        <f t="shared" si="15"/>
        <v>354.9123461776758</v>
      </c>
      <c r="AA42" s="144">
        <f t="shared" si="15"/>
        <v>354.9123461776758</v>
      </c>
      <c r="AB42" s="144">
        <f t="shared" si="15"/>
        <v>354.9123461776758</v>
      </c>
      <c r="AC42" s="144">
        <f t="shared" si="15"/>
        <v>354.9123461776758</v>
      </c>
      <c r="AD42" s="144">
        <f t="shared" si="15"/>
        <v>354.9123461776758</v>
      </c>
      <c r="AE42" s="144">
        <f t="shared" si="15"/>
        <v>354.9123461776758</v>
      </c>
      <c r="AF42" s="144">
        <f t="shared" si="15"/>
        <v>354.9123461776758</v>
      </c>
      <c r="AG42" s="152">
        <f t="shared" si="15"/>
        <v>354.9123461776758</v>
      </c>
    </row>
    <row r="43" spans="1:33" s="147" customFormat="1" ht="15" hidden="1">
      <c r="A43" s="100"/>
      <c r="B43" s="188"/>
      <c r="C43" s="148" t="s">
        <v>156</v>
      </c>
      <c r="D43" s="150">
        <f>SUM(D19:AG19)</f>
        <v>3694373.5499999984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3"/>
    </row>
    <row r="44" spans="1:33" s="147" customFormat="1" ht="15.75" hidden="1" thickBot="1">
      <c r="A44" s="100"/>
      <c r="B44" s="189"/>
      <c r="C44" s="154" t="s">
        <v>157</v>
      </c>
      <c r="D44" s="155">
        <f>SUM(D41:AG41)</f>
        <v>900806.0735789055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6"/>
    </row>
    <row r="45" s="146" customFormat="1" ht="15">
      <c r="A45" s="107"/>
    </row>
    <row r="46" s="146" customFormat="1" ht="15">
      <c r="A46" s="107"/>
    </row>
    <row r="49" ht="15">
      <c r="D49" s="116"/>
    </row>
  </sheetData>
  <mergeCells count="4">
    <mergeCell ref="B1:E1"/>
    <mergeCell ref="B41:B44"/>
    <mergeCell ref="B2:B20"/>
    <mergeCell ref="B22:B3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workbookViewId="0" topLeftCell="A1">
      <selection activeCell="F23" sqref="F23"/>
    </sheetView>
  </sheetViews>
  <sheetFormatPr defaultColWidth="9.140625" defaultRowHeight="15"/>
  <cols>
    <col min="2" max="2" width="36.28125" style="0" bestFit="1" customWidth="1"/>
    <col min="3" max="3" width="11.57421875" style="0" bestFit="1" customWidth="1"/>
  </cols>
  <sheetData>
    <row r="3" spans="2:3" ht="15">
      <c r="B3" t="s">
        <v>135</v>
      </c>
      <c r="C3" s="34">
        <v>11063</v>
      </c>
    </row>
    <row r="5" spans="2:3" ht="15">
      <c r="B5" t="s">
        <v>136</v>
      </c>
      <c r="C5">
        <v>0.5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9"/>
  <sheetViews>
    <sheetView workbookViewId="0" topLeftCell="A1">
      <selection activeCell="H18" sqref="H18"/>
    </sheetView>
  </sheetViews>
  <sheetFormatPr defaultColWidth="9.140625" defaultRowHeight="15"/>
  <cols>
    <col min="1" max="1" width="3.57421875" style="0" customWidth="1"/>
    <col min="2" max="2" width="22.57421875" style="0" bestFit="1" customWidth="1"/>
    <col min="3" max="4" width="23.8515625" style="0" bestFit="1" customWidth="1"/>
    <col min="5" max="5" width="11.57421875" style="0" bestFit="1" customWidth="1"/>
    <col min="7" max="7" width="21.421875" style="0" customWidth="1"/>
    <col min="8" max="9" width="10.57421875" style="0" bestFit="1" customWidth="1"/>
  </cols>
  <sheetData>
    <row r="2" ht="15.75" thickBot="1"/>
    <row r="3" spans="2:4" ht="15">
      <c r="B3" s="1" t="s">
        <v>2</v>
      </c>
      <c r="C3" s="4" t="s">
        <v>3</v>
      </c>
      <c r="D3" s="3" t="s">
        <v>33</v>
      </c>
    </row>
    <row r="4" spans="2:4" ht="15.75" thickBot="1">
      <c r="B4" s="2" t="s">
        <v>4</v>
      </c>
      <c r="C4" s="19">
        <v>450000</v>
      </c>
      <c r="D4" s="23">
        <f>(C4*0.35)*(C18*(1/1000))</f>
        <v>12416.24727</v>
      </c>
    </row>
    <row r="5" spans="2:4" ht="15.75" thickBot="1">
      <c r="B5" s="20" t="s">
        <v>34</v>
      </c>
      <c r="C5" s="21" t="s">
        <v>22</v>
      </c>
      <c r="D5" s="22" t="s">
        <v>23</v>
      </c>
    </row>
    <row r="6" spans="2:4" ht="15">
      <c r="B6" s="24" t="s">
        <v>5</v>
      </c>
      <c r="C6" s="25">
        <v>1.47</v>
      </c>
      <c r="D6" s="26">
        <v>1.47</v>
      </c>
    </row>
    <row r="7" spans="2:4" ht="15">
      <c r="B7" s="27" t="s">
        <v>24</v>
      </c>
      <c r="C7" s="17">
        <v>4.843961</v>
      </c>
      <c r="D7" s="28">
        <v>5</v>
      </c>
    </row>
    <row r="8" spans="2:4" ht="15">
      <c r="B8" s="27" t="s">
        <v>6</v>
      </c>
      <c r="C8" s="17">
        <v>2.193655</v>
      </c>
      <c r="D8" s="28">
        <v>2.2</v>
      </c>
    </row>
    <row r="9" spans="2:4" ht="15">
      <c r="B9" s="27" t="s">
        <v>25</v>
      </c>
      <c r="C9" s="17">
        <v>6.979812</v>
      </c>
      <c r="D9" s="28">
        <v>7</v>
      </c>
    </row>
    <row r="10" spans="2:4" ht="15">
      <c r="B10" s="27" t="s">
        <v>26</v>
      </c>
      <c r="C10" s="17">
        <v>0.747837</v>
      </c>
      <c r="D10" s="28">
        <v>0.75</v>
      </c>
    </row>
    <row r="11" spans="2:4" ht="15">
      <c r="B11" s="27" t="s">
        <v>7</v>
      </c>
      <c r="C11" s="17">
        <v>0.69555</v>
      </c>
      <c r="D11" s="28">
        <v>0.75</v>
      </c>
    </row>
    <row r="12" spans="2:5" ht="15">
      <c r="B12" s="27" t="s">
        <v>27</v>
      </c>
      <c r="C12" s="17">
        <v>1.29625</v>
      </c>
      <c r="D12" s="28">
        <v>1.3</v>
      </c>
      <c r="E12" s="16"/>
    </row>
    <row r="13" spans="2:4" ht="15">
      <c r="B13" s="29" t="s">
        <v>8</v>
      </c>
      <c r="C13" s="17">
        <v>2.8</v>
      </c>
      <c r="D13" s="28">
        <v>2.8</v>
      </c>
    </row>
    <row r="14" spans="2:4" ht="15">
      <c r="B14" s="29" t="s">
        <v>2</v>
      </c>
      <c r="C14" s="17">
        <v>1.63</v>
      </c>
      <c r="D14" s="28">
        <v>1.63</v>
      </c>
    </row>
    <row r="15" spans="2:12" ht="15.75" thickBot="1">
      <c r="B15" s="29" t="s">
        <v>28</v>
      </c>
      <c r="C15" s="17">
        <v>11.938231</v>
      </c>
      <c r="D15" s="28">
        <v>12.955198</v>
      </c>
      <c r="F15" s="113"/>
      <c r="G15" s="113"/>
      <c r="H15" s="113"/>
      <c r="I15" s="113"/>
      <c r="J15" s="113"/>
      <c r="K15" s="113"/>
      <c r="L15" s="113"/>
    </row>
    <row r="16" spans="2:12" ht="15">
      <c r="B16" s="29" t="s">
        <v>29</v>
      </c>
      <c r="C16" s="17">
        <v>42.23802</v>
      </c>
      <c r="D16" s="28">
        <v>50.119857</v>
      </c>
      <c r="F16" s="24" t="s">
        <v>35</v>
      </c>
      <c r="G16" s="112"/>
      <c r="H16" s="180">
        <f>(C4*0.35)*(C16*(1/1000))</f>
        <v>6652.48815</v>
      </c>
      <c r="I16" s="113"/>
      <c r="J16" s="113"/>
      <c r="K16" s="113"/>
      <c r="L16" s="113"/>
    </row>
    <row r="17" spans="2:12" ht="15">
      <c r="B17" s="29" t="s">
        <v>30</v>
      </c>
      <c r="C17" s="17">
        <v>2</v>
      </c>
      <c r="D17" s="28">
        <v>2</v>
      </c>
      <c r="F17" s="27" t="s">
        <v>171</v>
      </c>
      <c r="G17" s="113"/>
      <c r="H17" s="181">
        <f>D4-H16-H18</f>
        <v>5507.034119999999</v>
      </c>
      <c r="I17" s="113"/>
      <c r="J17" s="113"/>
      <c r="K17" s="113"/>
      <c r="L17" s="113"/>
    </row>
    <row r="18" spans="2:8" ht="15.75" thickBot="1">
      <c r="B18" s="27" t="s">
        <v>31</v>
      </c>
      <c r="C18" s="18">
        <f>SUM(C6:C17)</f>
        <v>78.833316</v>
      </c>
      <c r="D18" s="30">
        <f>SUM(D6:D17)</f>
        <v>87.975055</v>
      </c>
      <c r="F18" s="114" t="s">
        <v>172</v>
      </c>
      <c r="G18" s="115"/>
      <c r="H18" s="182">
        <f>(C4*0.35)*(C14*(1/1000))</f>
        <v>256.72499999999997</v>
      </c>
    </row>
    <row r="19" spans="2:4" ht="16.5" thickBot="1" thickTop="1">
      <c r="B19" s="31" t="s">
        <v>32</v>
      </c>
      <c r="C19" s="32">
        <f>C18-C16-C17</f>
        <v>34.595296</v>
      </c>
      <c r="D19" s="33">
        <f>D18-D16-D17</f>
        <v>35.855197999999994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zoomScale="80" zoomScaleNormal="80" workbookViewId="0" topLeftCell="A1">
      <selection activeCell="B11" sqref="B11:B13"/>
    </sheetView>
  </sheetViews>
  <sheetFormatPr defaultColWidth="29.8515625" defaultRowHeight="15"/>
  <cols>
    <col min="1" max="1" width="4.8515625" style="0" customWidth="1"/>
    <col min="2" max="2" width="43.00390625" style="0" customWidth="1"/>
  </cols>
  <sheetData>
    <row r="1" ht="15.75" thickBot="1"/>
    <row r="2" spans="2:6" ht="15.75" thickBot="1">
      <c r="B2" s="93" t="s">
        <v>139</v>
      </c>
      <c r="C2" s="94" t="s">
        <v>140</v>
      </c>
      <c r="D2" s="93" t="s">
        <v>141</v>
      </c>
      <c r="E2" s="94" t="s">
        <v>142</v>
      </c>
      <c r="F2" s="94" t="s">
        <v>143</v>
      </c>
    </row>
    <row r="3" spans="2:6" ht="60">
      <c r="B3" s="126" t="s">
        <v>144</v>
      </c>
      <c r="C3" s="127">
        <v>0.67</v>
      </c>
      <c r="D3" s="128" t="s">
        <v>145</v>
      </c>
      <c r="E3" s="183">
        <v>5900</v>
      </c>
      <c r="F3" s="129">
        <f>E3*C3</f>
        <v>3953.0000000000005</v>
      </c>
    </row>
    <row r="4" spans="2:6" ht="15">
      <c r="B4" s="130" t="s">
        <v>16</v>
      </c>
      <c r="C4" s="131">
        <v>5215.25</v>
      </c>
      <c r="D4" s="132" t="s">
        <v>146</v>
      </c>
      <c r="E4" s="133">
        <v>1</v>
      </c>
      <c r="F4" s="134">
        <f>C4*E4</f>
        <v>5215.25</v>
      </c>
    </row>
    <row r="5" spans="2:6" ht="15">
      <c r="B5" s="130" t="s">
        <v>17</v>
      </c>
      <c r="C5" s="131">
        <v>179.67</v>
      </c>
      <c r="D5" s="132" t="s">
        <v>146</v>
      </c>
      <c r="E5" s="185">
        <f>5900/245</f>
        <v>24.081632653061224</v>
      </c>
      <c r="F5" s="134">
        <f>C5*E5</f>
        <v>4326.74693877551</v>
      </c>
    </row>
    <row r="6" spans="2:6" ht="30">
      <c r="B6" s="130" t="s">
        <v>18</v>
      </c>
      <c r="C6" s="131">
        <v>0.05</v>
      </c>
      <c r="D6" s="135" t="s">
        <v>147</v>
      </c>
      <c r="E6" s="133">
        <v>5900</v>
      </c>
      <c r="F6" s="134">
        <f>C6*E6</f>
        <v>295</v>
      </c>
    </row>
    <row r="7" spans="2:6" ht="30.75" thickBot="1">
      <c r="B7" s="136" t="s">
        <v>148</v>
      </c>
      <c r="C7" s="137">
        <v>7.2</v>
      </c>
      <c r="D7" s="138" t="s">
        <v>147</v>
      </c>
      <c r="E7" s="184">
        <v>5900</v>
      </c>
      <c r="F7" s="139">
        <f>E7*C7</f>
        <v>42480</v>
      </c>
    </row>
    <row r="8" spans="2:6" ht="15.75" thickBot="1">
      <c r="B8" s="95" t="s">
        <v>149</v>
      </c>
      <c r="C8" s="96"/>
      <c r="D8" s="97"/>
      <c r="E8" s="98" t="s">
        <v>150</v>
      </c>
      <c r="F8" s="99">
        <f>F3+F4+F5+F6+F7</f>
        <v>56269.99693877551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 topLeftCell="A1">
      <selection activeCell="G4" sqref="G4"/>
    </sheetView>
  </sheetViews>
  <sheetFormatPr defaultColWidth="9.140625" defaultRowHeight="15"/>
  <cols>
    <col min="1" max="1" width="1.421875" style="0" customWidth="1"/>
    <col min="2" max="2" width="16.28125" style="0" bestFit="1" customWidth="1"/>
    <col min="3" max="3" width="7.7109375" style="0" customWidth="1"/>
    <col min="4" max="4" width="8.140625" style="0" bestFit="1" customWidth="1"/>
    <col min="5" max="5" width="7.8515625" style="0" customWidth="1"/>
    <col min="6" max="6" width="7.140625" style="0" customWidth="1"/>
    <col min="7" max="7" width="16.00390625" style="91" bestFit="1" customWidth="1"/>
  </cols>
  <sheetData>
    <row r="1" ht="7.5" customHeight="1"/>
    <row r="2" spans="3:7" ht="15">
      <c r="C2" s="196" t="s">
        <v>125</v>
      </c>
      <c r="D2" s="196"/>
      <c r="E2" s="196" t="s">
        <v>123</v>
      </c>
      <c r="F2" s="196"/>
      <c r="G2" s="91" t="s">
        <v>126</v>
      </c>
    </row>
    <row r="3" spans="2:7" ht="15">
      <c r="B3" t="s">
        <v>128</v>
      </c>
      <c r="C3">
        <v>65</v>
      </c>
      <c r="D3" t="s">
        <v>122</v>
      </c>
      <c r="E3">
        <v>25</v>
      </c>
      <c r="F3" t="s">
        <v>124</v>
      </c>
      <c r="G3" s="91">
        <v>2.6</v>
      </c>
    </row>
    <row r="4" spans="2:7" ht="15">
      <c r="B4" t="s">
        <v>127</v>
      </c>
      <c r="C4">
        <v>230</v>
      </c>
      <c r="D4" t="s">
        <v>122</v>
      </c>
      <c r="E4">
        <v>50</v>
      </c>
      <c r="F4" t="s">
        <v>124</v>
      </c>
      <c r="G4" s="91">
        <v>4.6</v>
      </c>
    </row>
    <row r="5" ht="15">
      <c r="G5" s="91">
        <f>G3+G4</f>
        <v>7.199999999999999</v>
      </c>
    </row>
  </sheetData>
  <mergeCells count="2"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 topLeftCell="A1">
      <selection activeCell="J8" sqref="J8"/>
    </sheetView>
  </sheetViews>
  <sheetFormatPr defaultColWidth="9.140625" defaultRowHeight="15"/>
  <cols>
    <col min="1" max="1" width="16.140625" style="56" customWidth="1"/>
    <col min="2" max="2" width="39.28125" style="74" customWidth="1"/>
    <col min="3" max="3" width="8.421875" style="75" customWidth="1"/>
    <col min="4" max="4" width="8.421875" style="76" customWidth="1"/>
    <col min="5" max="5" width="8.421875" style="77" customWidth="1"/>
    <col min="6" max="6" width="10.140625" style="76" customWidth="1"/>
    <col min="7" max="7" width="8.421875" style="76" customWidth="1"/>
    <col min="8" max="8" width="8.421875" style="77" customWidth="1"/>
    <col min="9" max="9" width="10.140625" style="76" customWidth="1"/>
    <col min="10" max="10" width="8.421875" style="76" customWidth="1"/>
    <col min="11" max="11" width="10.140625" style="77" customWidth="1"/>
    <col min="12" max="12" width="10.140625" style="76" customWidth="1"/>
    <col min="13" max="13" width="11.00390625" style="78" customWidth="1"/>
    <col min="14" max="16384" width="9.140625" style="56" customWidth="1"/>
  </cols>
  <sheetData>
    <row r="1" spans="1:13" s="39" customFormat="1" ht="18.75">
      <c r="A1" s="217" t="s">
        <v>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40" customFormat="1" ht="1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40" customFormat="1" ht="13.5" thickBot="1">
      <c r="A3" s="219" t="s">
        <v>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s="42" customFormat="1" ht="15">
      <c r="A4" s="220" t="s">
        <v>39</v>
      </c>
      <c r="B4" s="221"/>
      <c r="C4" s="222" t="s">
        <v>40</v>
      </c>
      <c r="D4" s="208" t="s">
        <v>41</v>
      </c>
      <c r="E4" s="224"/>
      <c r="F4" s="221"/>
      <c r="G4" s="208" t="s">
        <v>42</v>
      </c>
      <c r="H4" s="224"/>
      <c r="I4" s="221"/>
      <c r="J4" s="208" t="s">
        <v>43</v>
      </c>
      <c r="K4" s="224"/>
      <c r="L4" s="221"/>
      <c r="M4" s="41" t="s">
        <v>44</v>
      </c>
    </row>
    <row r="5" spans="1:13" s="48" customFormat="1" ht="26.25" thickBot="1">
      <c r="A5" s="43" t="s">
        <v>45</v>
      </c>
      <c r="B5" s="44" t="s">
        <v>46</v>
      </c>
      <c r="C5" s="223"/>
      <c r="D5" s="45" t="s">
        <v>47</v>
      </c>
      <c r="E5" s="46" t="s">
        <v>48</v>
      </c>
      <c r="F5" s="44" t="s">
        <v>49</v>
      </c>
      <c r="G5" s="45" t="s">
        <v>50</v>
      </c>
      <c r="H5" s="46" t="s">
        <v>51</v>
      </c>
      <c r="I5" s="44" t="s">
        <v>52</v>
      </c>
      <c r="J5" s="45" t="s">
        <v>53</v>
      </c>
      <c r="K5" s="46" t="s">
        <v>54</v>
      </c>
      <c r="L5" s="44" t="s">
        <v>55</v>
      </c>
      <c r="M5" s="47" t="s">
        <v>56</v>
      </c>
    </row>
    <row r="6" spans="1:13" ht="25.5">
      <c r="A6" s="49" t="s">
        <v>57</v>
      </c>
      <c r="B6" s="50" t="s">
        <v>58</v>
      </c>
      <c r="C6" s="51">
        <v>28.12</v>
      </c>
      <c r="D6" s="52">
        <f aca="true" t="shared" si="0" ref="D6:D9">ROUND(C6*1.1695,2)</f>
        <v>32.89</v>
      </c>
      <c r="E6" s="53"/>
      <c r="F6" s="54">
        <f aca="true" t="shared" si="1" ref="F6:F9">ROUND(D6*E6,2)</f>
        <v>0</v>
      </c>
      <c r="G6" s="52">
        <f aca="true" t="shared" si="2" ref="G6:G9">ROUND(C6*1.5*1.1695,2)</f>
        <v>49.33</v>
      </c>
      <c r="H6" s="53">
        <v>1</v>
      </c>
      <c r="I6" s="54">
        <f aca="true" t="shared" si="3" ref="I6:I9">ROUND(G6*H6,2)</f>
        <v>49.33</v>
      </c>
      <c r="J6" s="52">
        <f aca="true" t="shared" si="4" ref="J6:J9">ROUND(C6*2*1.1695,2)</f>
        <v>65.77</v>
      </c>
      <c r="K6" s="53"/>
      <c r="L6" s="54">
        <f aca="true" t="shared" si="5" ref="L6:L9">ROUND(J6*K6,2)</f>
        <v>0</v>
      </c>
      <c r="M6" s="55">
        <f aca="true" t="shared" si="6" ref="M6:M9">F6+I6+L6</f>
        <v>49.33</v>
      </c>
    </row>
    <row r="7" spans="1:13" ht="25.5">
      <c r="A7" s="49" t="s">
        <v>57</v>
      </c>
      <c r="B7" s="50" t="s">
        <v>59</v>
      </c>
      <c r="C7" s="51">
        <v>28.12</v>
      </c>
      <c r="D7" s="52">
        <f t="shared" si="0"/>
        <v>32.89</v>
      </c>
      <c r="E7" s="53"/>
      <c r="F7" s="54">
        <f t="shared" si="1"/>
        <v>0</v>
      </c>
      <c r="G7" s="52">
        <f t="shared" si="2"/>
        <v>49.33</v>
      </c>
      <c r="H7" s="53">
        <v>1</v>
      </c>
      <c r="I7" s="54">
        <f t="shared" si="3"/>
        <v>49.33</v>
      </c>
      <c r="J7" s="52">
        <f t="shared" si="4"/>
        <v>65.77</v>
      </c>
      <c r="K7" s="53"/>
      <c r="L7" s="54">
        <f t="shared" si="5"/>
        <v>0</v>
      </c>
      <c r="M7" s="55">
        <f t="shared" si="6"/>
        <v>49.33</v>
      </c>
    </row>
    <row r="8" spans="1:13" ht="38.25">
      <c r="A8" s="57" t="s">
        <v>60</v>
      </c>
      <c r="B8" s="50" t="s">
        <v>61</v>
      </c>
      <c r="C8" s="51">
        <v>28.12</v>
      </c>
      <c r="D8" s="52">
        <f t="shared" si="0"/>
        <v>32.89</v>
      </c>
      <c r="E8" s="53">
        <v>1</v>
      </c>
      <c r="F8" s="54">
        <f t="shared" si="1"/>
        <v>32.89</v>
      </c>
      <c r="G8" s="52">
        <f t="shared" si="2"/>
        <v>49.33</v>
      </c>
      <c r="H8" s="53"/>
      <c r="I8" s="54">
        <f t="shared" si="3"/>
        <v>0</v>
      </c>
      <c r="J8" s="52">
        <f t="shared" si="4"/>
        <v>65.77</v>
      </c>
      <c r="K8" s="53"/>
      <c r="L8" s="54">
        <f t="shared" si="5"/>
        <v>0</v>
      </c>
      <c r="M8" s="55">
        <f t="shared" si="6"/>
        <v>32.89</v>
      </c>
    </row>
    <row r="9" spans="1:13" ht="13.5" thickBot="1">
      <c r="A9" s="58"/>
      <c r="B9" s="59"/>
      <c r="C9" s="51"/>
      <c r="D9" s="52">
        <f t="shared" si="0"/>
        <v>0</v>
      </c>
      <c r="E9" s="53"/>
      <c r="F9" s="54">
        <f t="shared" si="1"/>
        <v>0</v>
      </c>
      <c r="G9" s="52">
        <f t="shared" si="2"/>
        <v>0</v>
      </c>
      <c r="H9" s="53"/>
      <c r="I9" s="54">
        <f t="shared" si="3"/>
        <v>0</v>
      </c>
      <c r="J9" s="52">
        <f t="shared" si="4"/>
        <v>0</v>
      </c>
      <c r="K9" s="53"/>
      <c r="L9" s="54">
        <f t="shared" si="5"/>
        <v>0</v>
      </c>
      <c r="M9" s="55">
        <f t="shared" si="6"/>
        <v>0</v>
      </c>
    </row>
    <row r="10" spans="1:13" ht="13.5" thickBot="1">
      <c r="A10" s="203" t="s">
        <v>62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60">
        <f>SUM(M6:M9)</f>
        <v>131.55</v>
      </c>
    </row>
    <row r="11" spans="1:13" ht="13.5" thickBo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1:13" s="64" customFormat="1" ht="13.5" thickBot="1">
      <c r="A12" s="61" t="s">
        <v>63</v>
      </c>
      <c r="B12" s="225" t="s">
        <v>64</v>
      </c>
      <c r="C12" s="226"/>
      <c r="D12" s="226"/>
      <c r="E12" s="226"/>
      <c r="F12" s="226"/>
      <c r="G12" s="226"/>
      <c r="H12" s="226"/>
      <c r="I12" s="226"/>
      <c r="J12" s="227"/>
      <c r="K12" s="62" t="s">
        <v>65</v>
      </c>
      <c r="L12" s="63" t="s">
        <v>66</v>
      </c>
      <c r="M12" s="61" t="s">
        <v>44</v>
      </c>
    </row>
    <row r="13" spans="1:13" ht="13.5" thickBot="1">
      <c r="A13" s="65" t="s">
        <v>67</v>
      </c>
      <c r="B13" s="214" t="s">
        <v>68</v>
      </c>
      <c r="C13" s="215"/>
      <c r="D13" s="215"/>
      <c r="E13" s="215"/>
      <c r="F13" s="215"/>
      <c r="G13" s="215"/>
      <c r="H13" s="215"/>
      <c r="I13" s="215"/>
      <c r="J13" s="216"/>
      <c r="K13" s="66">
        <v>35</v>
      </c>
      <c r="L13" s="67">
        <v>1</v>
      </c>
      <c r="M13" s="68">
        <f>ROUND(K13*L13,2)</f>
        <v>35</v>
      </c>
    </row>
    <row r="14" spans="1:13" ht="26.25" thickBot="1">
      <c r="A14" s="69" t="s">
        <v>69</v>
      </c>
      <c r="B14" s="214" t="s">
        <v>70</v>
      </c>
      <c r="C14" s="215"/>
      <c r="D14" s="215"/>
      <c r="E14" s="215"/>
      <c r="F14" s="215"/>
      <c r="G14" s="215"/>
      <c r="H14" s="215"/>
      <c r="I14" s="215"/>
      <c r="J14" s="216"/>
      <c r="K14" s="70">
        <v>20</v>
      </c>
      <c r="L14" s="67">
        <v>1</v>
      </c>
      <c r="M14" s="55">
        <f aca="true" t="shared" si="7" ref="M14:M18">ROUND(K14*L14,2)</f>
        <v>20</v>
      </c>
    </row>
    <row r="15" spans="1:13" ht="25.5">
      <c r="A15" s="69" t="s">
        <v>71</v>
      </c>
      <c r="B15" s="214" t="s">
        <v>72</v>
      </c>
      <c r="C15" s="215"/>
      <c r="D15" s="215"/>
      <c r="E15" s="215"/>
      <c r="F15" s="215"/>
      <c r="G15" s="215"/>
      <c r="H15" s="215"/>
      <c r="I15" s="215"/>
      <c r="J15" s="216"/>
      <c r="K15" s="70">
        <v>20</v>
      </c>
      <c r="L15" s="67">
        <v>1</v>
      </c>
      <c r="M15" s="55">
        <f t="shared" si="7"/>
        <v>20</v>
      </c>
    </row>
    <row r="16" spans="1:13" ht="15">
      <c r="A16" s="69" t="s">
        <v>73</v>
      </c>
      <c r="B16" s="200" t="s">
        <v>74</v>
      </c>
      <c r="C16" s="201"/>
      <c r="D16" s="201"/>
      <c r="E16" s="201"/>
      <c r="F16" s="201"/>
      <c r="G16" s="201"/>
      <c r="H16" s="201"/>
      <c r="I16" s="201"/>
      <c r="J16" s="202"/>
      <c r="K16" s="71">
        <v>0.034</v>
      </c>
      <c r="L16" s="72">
        <v>300</v>
      </c>
      <c r="M16" s="55">
        <f t="shared" si="7"/>
        <v>10.2</v>
      </c>
    </row>
    <row r="17" spans="1:13" ht="15">
      <c r="A17" s="69" t="s">
        <v>75</v>
      </c>
      <c r="B17" s="200" t="s">
        <v>76</v>
      </c>
      <c r="C17" s="201"/>
      <c r="D17" s="201"/>
      <c r="E17" s="201"/>
      <c r="F17" s="201"/>
      <c r="G17" s="201"/>
      <c r="H17" s="201"/>
      <c r="I17" s="201"/>
      <c r="J17" s="202"/>
      <c r="K17" s="70">
        <v>4</v>
      </c>
      <c r="L17" s="67">
        <v>1</v>
      </c>
      <c r="M17" s="55">
        <f t="shared" si="7"/>
        <v>4</v>
      </c>
    </row>
    <row r="18" spans="1:13" ht="13.5" thickBot="1">
      <c r="A18" s="69" t="s">
        <v>75</v>
      </c>
      <c r="B18" s="200" t="s">
        <v>77</v>
      </c>
      <c r="C18" s="201"/>
      <c r="D18" s="201"/>
      <c r="E18" s="201"/>
      <c r="F18" s="201"/>
      <c r="G18" s="201"/>
      <c r="H18" s="201"/>
      <c r="I18" s="201"/>
      <c r="J18" s="202"/>
      <c r="K18" s="70">
        <v>0.15</v>
      </c>
      <c r="L18" s="67">
        <v>40</v>
      </c>
      <c r="M18" s="55">
        <f t="shared" si="7"/>
        <v>6</v>
      </c>
    </row>
    <row r="19" spans="1:13" ht="13.5" thickBot="1">
      <c r="A19" s="203" t="s">
        <v>78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60">
        <f>SUM(M13:M18)</f>
        <v>95.2</v>
      </c>
    </row>
    <row r="20" spans="1:13" ht="13.5" thickBo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</row>
    <row r="21" spans="1:13" s="73" customFormat="1" ht="15">
      <c r="A21" s="206" t="s">
        <v>79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7"/>
      <c r="L21" s="208" t="s">
        <v>80</v>
      </c>
      <c r="M21" s="210">
        <f>SUM(M10+M19)</f>
        <v>226.75</v>
      </c>
    </row>
    <row r="22" spans="1:13" s="73" customFormat="1" ht="152.25" customHeight="1" thickBot="1">
      <c r="A22" s="212" t="s">
        <v>81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3"/>
      <c r="L22" s="209"/>
      <c r="M22" s="211"/>
    </row>
    <row r="23" spans="1:13" s="73" customFormat="1" ht="15">
      <c r="A23" s="197" t="s">
        <v>82</v>
      </c>
      <c r="B23" s="197"/>
      <c r="C23" s="197"/>
      <c r="D23" s="197"/>
      <c r="E23" s="197"/>
      <c r="F23" s="197"/>
      <c r="G23" s="197"/>
      <c r="H23" s="197"/>
      <c r="I23" s="197"/>
      <c r="J23" s="198" t="s">
        <v>83</v>
      </c>
      <c r="K23" s="198"/>
      <c r="L23" s="199"/>
      <c r="M23" s="199"/>
    </row>
  </sheetData>
  <mergeCells count="25">
    <mergeCell ref="B15:J15"/>
    <mergeCell ref="A1:M1"/>
    <mergeCell ref="A2:M2"/>
    <mergeCell ref="A3:M3"/>
    <mergeCell ref="A4:B4"/>
    <mergeCell ref="C4:C5"/>
    <mergeCell ref="D4:F4"/>
    <mergeCell ref="G4:I4"/>
    <mergeCell ref="J4:L4"/>
    <mergeCell ref="A10:L10"/>
    <mergeCell ref="A11:M11"/>
    <mergeCell ref="B12:J12"/>
    <mergeCell ref="B13:J13"/>
    <mergeCell ref="B14:J14"/>
    <mergeCell ref="A23:I23"/>
    <mergeCell ref="J23:M23"/>
    <mergeCell ref="B16:J16"/>
    <mergeCell ref="B17:J17"/>
    <mergeCell ref="B18:J18"/>
    <mergeCell ref="A19:L19"/>
    <mergeCell ref="A20:M20"/>
    <mergeCell ref="A21:K21"/>
    <mergeCell ref="L21:L22"/>
    <mergeCell ref="M21:M22"/>
    <mergeCell ref="A22:K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 topLeftCell="A1">
      <selection activeCell="H38" sqref="H38"/>
    </sheetView>
  </sheetViews>
  <sheetFormatPr defaultColWidth="9.140625" defaultRowHeight="15"/>
  <cols>
    <col min="1" max="1" width="16.140625" style="56" customWidth="1"/>
    <col min="2" max="2" width="39.28125" style="74" customWidth="1"/>
    <col min="3" max="3" width="8.421875" style="75" customWidth="1"/>
    <col min="4" max="4" width="8.421875" style="76" customWidth="1"/>
    <col min="5" max="5" width="8.421875" style="77" customWidth="1"/>
    <col min="6" max="6" width="10.140625" style="76" customWidth="1"/>
    <col min="7" max="7" width="8.421875" style="76" customWidth="1"/>
    <col min="8" max="8" width="8.421875" style="77" customWidth="1"/>
    <col min="9" max="9" width="10.140625" style="76" customWidth="1"/>
    <col min="10" max="10" width="8.421875" style="76" customWidth="1"/>
    <col min="11" max="11" width="10.140625" style="77" customWidth="1"/>
    <col min="12" max="12" width="10.140625" style="76" customWidth="1"/>
    <col min="13" max="13" width="11.00390625" style="78" customWidth="1"/>
    <col min="14" max="16384" width="9.140625" style="56" customWidth="1"/>
  </cols>
  <sheetData>
    <row r="1" spans="1:13" s="39" customFormat="1" ht="18.75">
      <c r="A1" s="217" t="s">
        <v>84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40" customFormat="1" ht="1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40" customFormat="1" ht="13.5" thickBot="1">
      <c r="A3" s="219" t="s">
        <v>85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s="42" customFormat="1" ht="15">
      <c r="A4" s="220" t="s">
        <v>39</v>
      </c>
      <c r="B4" s="221"/>
      <c r="C4" s="222" t="s">
        <v>40</v>
      </c>
      <c r="D4" s="208" t="s">
        <v>41</v>
      </c>
      <c r="E4" s="224"/>
      <c r="F4" s="221"/>
      <c r="G4" s="208" t="s">
        <v>42</v>
      </c>
      <c r="H4" s="224"/>
      <c r="I4" s="221"/>
      <c r="J4" s="208" t="s">
        <v>43</v>
      </c>
      <c r="K4" s="224"/>
      <c r="L4" s="221"/>
      <c r="M4" s="41" t="s">
        <v>44</v>
      </c>
    </row>
    <row r="5" spans="1:13" s="48" customFormat="1" ht="26.25" thickBot="1">
      <c r="A5" s="43" t="s">
        <v>45</v>
      </c>
      <c r="B5" s="44" t="s">
        <v>46</v>
      </c>
      <c r="C5" s="223"/>
      <c r="D5" s="45" t="s">
        <v>47</v>
      </c>
      <c r="E5" s="46" t="s">
        <v>48</v>
      </c>
      <c r="F5" s="44" t="s">
        <v>49</v>
      </c>
      <c r="G5" s="45" t="s">
        <v>50</v>
      </c>
      <c r="H5" s="46" t="s">
        <v>51</v>
      </c>
      <c r="I5" s="44" t="s">
        <v>52</v>
      </c>
      <c r="J5" s="45" t="s">
        <v>53</v>
      </c>
      <c r="K5" s="46" t="s">
        <v>54</v>
      </c>
      <c r="L5" s="44" t="s">
        <v>55</v>
      </c>
      <c r="M5" s="47" t="s">
        <v>56</v>
      </c>
    </row>
    <row r="6" spans="1:13" ht="38.25">
      <c r="A6" s="57" t="s">
        <v>86</v>
      </c>
      <c r="B6" s="79" t="s">
        <v>87</v>
      </c>
      <c r="C6" s="51">
        <v>59.89</v>
      </c>
      <c r="D6" s="52">
        <v>59.89</v>
      </c>
      <c r="E6" s="53">
        <v>1</v>
      </c>
      <c r="F6" s="54">
        <f>ROUND(D6*E6,2)</f>
        <v>59.89</v>
      </c>
      <c r="G6" s="80"/>
      <c r="H6" s="81"/>
      <c r="I6" s="82">
        <f>ROUND(G6*H6,2)</f>
        <v>0</v>
      </c>
      <c r="J6" s="80"/>
      <c r="K6" s="81"/>
      <c r="L6" s="82">
        <f>ROUND(J6*K6,2)</f>
        <v>0</v>
      </c>
      <c r="M6" s="55">
        <f aca="true" t="shared" si="0" ref="M6:M10">F6+I6+L6</f>
        <v>59.89</v>
      </c>
    </row>
    <row r="7" spans="1:13" ht="15">
      <c r="A7" s="58"/>
      <c r="B7" s="50"/>
      <c r="C7" s="51"/>
      <c r="D7" s="52">
        <f aca="true" t="shared" si="1" ref="D7:D10">ROUND(C7*1.1695,2)</f>
        <v>0</v>
      </c>
      <c r="E7" s="53"/>
      <c r="F7" s="54">
        <f aca="true" t="shared" si="2" ref="F7:F10">ROUND(D7*E7,2)</f>
        <v>0</v>
      </c>
      <c r="G7" s="52">
        <f aca="true" t="shared" si="3" ref="G7:G10">ROUND(C7*1.5*1.1695,2)</f>
        <v>0</v>
      </c>
      <c r="H7" s="53"/>
      <c r="I7" s="54">
        <f aca="true" t="shared" si="4" ref="I7:I10">ROUND(G7*H7,2)</f>
        <v>0</v>
      </c>
      <c r="J7" s="52">
        <f aca="true" t="shared" si="5" ref="J7:J10">ROUND(C7*2*1.1695,2)</f>
        <v>0</v>
      </c>
      <c r="K7" s="53"/>
      <c r="L7" s="54">
        <f aca="true" t="shared" si="6" ref="L7:L10">ROUND(J7*K7,2)</f>
        <v>0</v>
      </c>
      <c r="M7" s="55">
        <f t="shared" si="0"/>
        <v>0</v>
      </c>
    </row>
    <row r="8" spans="1:13" ht="15">
      <c r="A8" s="58"/>
      <c r="B8" s="50"/>
      <c r="C8" s="51"/>
      <c r="D8" s="52">
        <f t="shared" si="1"/>
        <v>0</v>
      </c>
      <c r="E8" s="53"/>
      <c r="F8" s="54">
        <f t="shared" si="2"/>
        <v>0</v>
      </c>
      <c r="G8" s="52">
        <f t="shared" si="3"/>
        <v>0</v>
      </c>
      <c r="H8" s="53"/>
      <c r="I8" s="54">
        <f t="shared" si="4"/>
        <v>0</v>
      </c>
      <c r="J8" s="52">
        <f t="shared" si="5"/>
        <v>0</v>
      </c>
      <c r="K8" s="53"/>
      <c r="L8" s="54">
        <f t="shared" si="6"/>
        <v>0</v>
      </c>
      <c r="M8" s="55">
        <f t="shared" si="0"/>
        <v>0</v>
      </c>
    </row>
    <row r="9" spans="1:13" ht="15">
      <c r="A9" s="58"/>
      <c r="B9" s="59"/>
      <c r="C9" s="51"/>
      <c r="D9" s="52">
        <f t="shared" si="1"/>
        <v>0</v>
      </c>
      <c r="E9" s="53"/>
      <c r="F9" s="54">
        <f t="shared" si="2"/>
        <v>0</v>
      </c>
      <c r="G9" s="52">
        <f t="shared" si="3"/>
        <v>0</v>
      </c>
      <c r="H9" s="53"/>
      <c r="I9" s="54">
        <f t="shared" si="4"/>
        <v>0</v>
      </c>
      <c r="J9" s="52">
        <f t="shared" si="5"/>
        <v>0</v>
      </c>
      <c r="K9" s="53"/>
      <c r="L9" s="54">
        <f t="shared" si="6"/>
        <v>0</v>
      </c>
      <c r="M9" s="55">
        <f t="shared" si="0"/>
        <v>0</v>
      </c>
    </row>
    <row r="10" spans="1:13" ht="13.5" thickBot="1">
      <c r="A10" s="58"/>
      <c r="B10" s="59"/>
      <c r="C10" s="51"/>
      <c r="D10" s="52">
        <f t="shared" si="1"/>
        <v>0</v>
      </c>
      <c r="E10" s="53"/>
      <c r="F10" s="54">
        <f t="shared" si="2"/>
        <v>0</v>
      </c>
      <c r="G10" s="52">
        <f t="shared" si="3"/>
        <v>0</v>
      </c>
      <c r="H10" s="53"/>
      <c r="I10" s="54">
        <f t="shared" si="4"/>
        <v>0</v>
      </c>
      <c r="J10" s="52">
        <f t="shared" si="5"/>
        <v>0</v>
      </c>
      <c r="K10" s="53"/>
      <c r="L10" s="54">
        <f t="shared" si="6"/>
        <v>0</v>
      </c>
      <c r="M10" s="55">
        <f t="shared" si="0"/>
        <v>0</v>
      </c>
    </row>
    <row r="11" spans="1:13" ht="13.5" thickBot="1">
      <c r="A11" s="203" t="s">
        <v>62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60">
        <f>SUM(M6:M10)</f>
        <v>59.89</v>
      </c>
    </row>
    <row r="12" spans="1:13" ht="13.5" thickBo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</row>
    <row r="13" spans="1:13" s="64" customFormat="1" ht="13.5" thickBot="1">
      <c r="A13" s="61" t="s">
        <v>88</v>
      </c>
      <c r="B13" s="225" t="s">
        <v>64</v>
      </c>
      <c r="C13" s="226"/>
      <c r="D13" s="226"/>
      <c r="E13" s="226"/>
      <c r="F13" s="226"/>
      <c r="G13" s="226"/>
      <c r="H13" s="226"/>
      <c r="I13" s="226"/>
      <c r="J13" s="227"/>
      <c r="K13" s="62" t="s">
        <v>65</v>
      </c>
      <c r="L13" s="63" t="s">
        <v>66</v>
      </c>
      <c r="M13" s="61" t="s">
        <v>44</v>
      </c>
    </row>
    <row r="14" spans="1:13" ht="13.5" thickBot="1">
      <c r="A14" s="83" t="s">
        <v>89</v>
      </c>
      <c r="B14" s="214" t="s">
        <v>90</v>
      </c>
      <c r="C14" s="215"/>
      <c r="D14" s="215"/>
      <c r="E14" s="215"/>
      <c r="F14" s="215"/>
      <c r="G14" s="215"/>
      <c r="H14" s="215"/>
      <c r="I14" s="215"/>
      <c r="J14" s="216"/>
      <c r="K14" s="66">
        <v>903</v>
      </c>
      <c r="L14" s="67">
        <v>1</v>
      </c>
      <c r="M14" s="68">
        <f>ROUND(K14*L14,2)</f>
        <v>903</v>
      </c>
    </row>
    <row r="15" spans="1:13" ht="15">
      <c r="A15" s="84" t="s">
        <v>91</v>
      </c>
      <c r="B15" s="214" t="s">
        <v>92</v>
      </c>
      <c r="C15" s="215"/>
      <c r="D15" s="215"/>
      <c r="E15" s="215"/>
      <c r="F15" s="215"/>
      <c r="G15" s="215"/>
      <c r="H15" s="215"/>
      <c r="I15" s="215"/>
      <c r="J15" s="216"/>
      <c r="K15" s="70">
        <v>737.38</v>
      </c>
      <c r="L15" s="67">
        <v>1</v>
      </c>
      <c r="M15" s="55">
        <f aca="true" t="shared" si="7" ref="M15:M19">ROUND(K15*L15,2)</f>
        <v>737.38</v>
      </c>
    </row>
    <row r="16" spans="1:13" ht="15">
      <c r="A16" s="84" t="s">
        <v>93</v>
      </c>
      <c r="B16" s="200" t="s">
        <v>94</v>
      </c>
      <c r="C16" s="201"/>
      <c r="D16" s="201"/>
      <c r="E16" s="201"/>
      <c r="F16" s="201"/>
      <c r="G16" s="201"/>
      <c r="H16" s="201"/>
      <c r="I16" s="201"/>
      <c r="J16" s="202"/>
      <c r="K16" s="70">
        <v>25.71</v>
      </c>
      <c r="L16" s="67">
        <v>2</v>
      </c>
      <c r="M16" s="55">
        <f t="shared" si="7"/>
        <v>51.42</v>
      </c>
    </row>
    <row r="17" spans="1:13" ht="15">
      <c r="A17" s="84" t="s">
        <v>95</v>
      </c>
      <c r="B17" s="200" t="s">
        <v>96</v>
      </c>
      <c r="C17" s="201"/>
      <c r="D17" s="201"/>
      <c r="E17" s="201"/>
      <c r="F17" s="201"/>
      <c r="G17" s="201"/>
      <c r="H17" s="201"/>
      <c r="I17" s="201"/>
      <c r="J17" s="202"/>
      <c r="K17" s="70">
        <v>13.68</v>
      </c>
      <c r="L17" s="67">
        <v>1</v>
      </c>
      <c r="M17" s="55">
        <f t="shared" si="7"/>
        <v>13.68</v>
      </c>
    </row>
    <row r="18" spans="1:13" ht="15">
      <c r="A18" s="85"/>
      <c r="B18" s="200"/>
      <c r="C18" s="201"/>
      <c r="D18" s="201"/>
      <c r="E18" s="201"/>
      <c r="F18" s="201"/>
      <c r="G18" s="201"/>
      <c r="H18" s="201"/>
      <c r="I18" s="201"/>
      <c r="J18" s="202"/>
      <c r="K18" s="70"/>
      <c r="L18" s="67"/>
      <c r="M18" s="55">
        <f t="shared" si="7"/>
        <v>0</v>
      </c>
    </row>
    <row r="19" spans="1:13" ht="13.5" thickBot="1">
      <c r="A19" s="86"/>
      <c r="B19" s="228"/>
      <c r="C19" s="229"/>
      <c r="D19" s="229"/>
      <c r="E19" s="229"/>
      <c r="F19" s="229"/>
      <c r="G19" s="229"/>
      <c r="H19" s="229"/>
      <c r="I19" s="229"/>
      <c r="J19" s="230"/>
      <c r="K19" s="87"/>
      <c r="L19" s="88"/>
      <c r="M19" s="89">
        <f t="shared" si="7"/>
        <v>0</v>
      </c>
    </row>
    <row r="20" spans="1:13" ht="13.5" thickBot="1">
      <c r="A20" s="203" t="s">
        <v>78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60">
        <f>SUM(M14:M19)</f>
        <v>1705.4800000000002</v>
      </c>
    </row>
    <row r="21" spans="1:13" ht="13.5" thickBo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s="73" customFormat="1" ht="15">
      <c r="A22" s="206" t="s">
        <v>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7"/>
      <c r="L22" s="208" t="s">
        <v>80</v>
      </c>
      <c r="M22" s="210">
        <f>SUM(M11+M20)</f>
        <v>1765.3700000000003</v>
      </c>
    </row>
    <row r="23" spans="1:13" s="73" customFormat="1" ht="66.75" customHeight="1" thickBot="1">
      <c r="A23" s="212" t="s">
        <v>97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3"/>
      <c r="L23" s="209"/>
      <c r="M23" s="211"/>
    </row>
    <row r="24" spans="1:13" s="73" customFormat="1" ht="15">
      <c r="A24" s="197" t="s">
        <v>82</v>
      </c>
      <c r="B24" s="197"/>
      <c r="C24" s="197"/>
      <c r="D24" s="197"/>
      <c r="E24" s="197"/>
      <c r="F24" s="197"/>
      <c r="G24" s="197"/>
      <c r="H24" s="197"/>
      <c r="I24" s="197"/>
      <c r="J24" s="198" t="s">
        <v>83</v>
      </c>
      <c r="K24" s="198"/>
      <c r="L24" s="199"/>
      <c r="M24" s="199"/>
    </row>
    <row r="27" ht="15">
      <c r="B27" s="74" t="s">
        <v>178</v>
      </c>
    </row>
  </sheetData>
  <mergeCells count="25">
    <mergeCell ref="B16:J16"/>
    <mergeCell ref="A1:M1"/>
    <mergeCell ref="A2:M2"/>
    <mergeCell ref="A3:M3"/>
    <mergeCell ref="A4:B4"/>
    <mergeCell ref="C4:C5"/>
    <mergeCell ref="D4:F4"/>
    <mergeCell ref="G4:I4"/>
    <mergeCell ref="J4:L4"/>
    <mergeCell ref="A11:L11"/>
    <mergeCell ref="A12:M12"/>
    <mergeCell ref="B13:J13"/>
    <mergeCell ref="B14:J14"/>
    <mergeCell ref="B15:J15"/>
    <mergeCell ref="A24:I24"/>
    <mergeCell ref="J24:M24"/>
    <mergeCell ref="B17:J17"/>
    <mergeCell ref="B18:J18"/>
    <mergeCell ref="B19:J19"/>
    <mergeCell ref="A20:L20"/>
    <mergeCell ref="A21:M21"/>
    <mergeCell ref="A22:K22"/>
    <mergeCell ref="L22:L23"/>
    <mergeCell ref="M22:M23"/>
    <mergeCell ref="A23:K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 topLeftCell="A1">
      <selection activeCell="C30" sqref="C30"/>
    </sheetView>
  </sheetViews>
  <sheetFormatPr defaultColWidth="9.140625" defaultRowHeight="15"/>
  <cols>
    <col min="1" max="1" width="16.140625" style="56" customWidth="1"/>
    <col min="2" max="2" width="39.28125" style="74" customWidth="1"/>
    <col min="3" max="3" width="8.421875" style="75" customWidth="1"/>
    <col min="4" max="4" width="8.421875" style="76" customWidth="1"/>
    <col min="5" max="5" width="8.421875" style="77" customWidth="1"/>
    <col min="6" max="6" width="10.140625" style="76" customWidth="1"/>
    <col min="7" max="7" width="8.421875" style="76" customWidth="1"/>
    <col min="8" max="8" width="8.421875" style="77" customWidth="1"/>
    <col min="9" max="9" width="10.140625" style="76" customWidth="1"/>
    <col min="10" max="10" width="8.421875" style="76" customWidth="1"/>
    <col min="11" max="11" width="10.140625" style="77" customWidth="1"/>
    <col min="12" max="12" width="10.140625" style="76" customWidth="1"/>
    <col min="13" max="13" width="11.00390625" style="78" customWidth="1"/>
    <col min="14" max="16384" width="9.140625" style="56" customWidth="1"/>
  </cols>
  <sheetData>
    <row r="1" spans="1:13" s="39" customFormat="1" ht="18.75">
      <c r="A1" s="217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40" customFormat="1" ht="1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40" customFormat="1" ht="13.5" thickBot="1">
      <c r="A3" s="219" t="s">
        <v>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 s="42" customFormat="1" ht="15">
      <c r="A4" s="220" t="s">
        <v>39</v>
      </c>
      <c r="B4" s="221"/>
      <c r="C4" s="222" t="s">
        <v>40</v>
      </c>
      <c r="D4" s="208" t="s">
        <v>41</v>
      </c>
      <c r="E4" s="224"/>
      <c r="F4" s="221"/>
      <c r="G4" s="208" t="s">
        <v>42</v>
      </c>
      <c r="H4" s="224"/>
      <c r="I4" s="221"/>
      <c r="J4" s="208" t="s">
        <v>43</v>
      </c>
      <c r="K4" s="224"/>
      <c r="L4" s="221"/>
      <c r="M4" s="41" t="s">
        <v>44</v>
      </c>
    </row>
    <row r="5" spans="1:13" s="48" customFormat="1" ht="26.25" thickBot="1">
      <c r="A5" s="43" t="s">
        <v>45</v>
      </c>
      <c r="B5" s="44" t="s">
        <v>46</v>
      </c>
      <c r="C5" s="223"/>
      <c r="D5" s="45" t="s">
        <v>47</v>
      </c>
      <c r="E5" s="46" t="s">
        <v>48</v>
      </c>
      <c r="F5" s="44" t="s">
        <v>49</v>
      </c>
      <c r="G5" s="45" t="s">
        <v>50</v>
      </c>
      <c r="H5" s="46" t="s">
        <v>51</v>
      </c>
      <c r="I5" s="44" t="s">
        <v>52</v>
      </c>
      <c r="J5" s="45" t="s">
        <v>53</v>
      </c>
      <c r="K5" s="46" t="s">
        <v>54</v>
      </c>
      <c r="L5" s="44" t="s">
        <v>55</v>
      </c>
      <c r="M5" s="47" t="s">
        <v>56</v>
      </c>
    </row>
    <row r="6" spans="1:13" ht="25.5">
      <c r="A6" s="49" t="s">
        <v>57</v>
      </c>
      <c r="B6" s="50" t="s">
        <v>99</v>
      </c>
      <c r="C6" s="51">
        <v>28.12</v>
      </c>
      <c r="D6" s="52">
        <f aca="true" t="shared" si="0" ref="D6:D11">ROUND(C6*1.1695,2)</f>
        <v>32.89</v>
      </c>
      <c r="E6" s="53">
        <v>1</v>
      </c>
      <c r="F6" s="54">
        <f aca="true" t="shared" si="1" ref="F6:F11">ROUND(D6*E6,2)</f>
        <v>32.89</v>
      </c>
      <c r="G6" s="52">
        <f aca="true" t="shared" si="2" ref="G6:G11">ROUND(C6*1.5*1.1695,2)</f>
        <v>49.33</v>
      </c>
      <c r="H6" s="53"/>
      <c r="I6" s="54">
        <f aca="true" t="shared" si="3" ref="I6:I11">ROUND(G6*H6,2)</f>
        <v>0</v>
      </c>
      <c r="J6" s="52">
        <f aca="true" t="shared" si="4" ref="J6:J11">ROUND(C6*2*1.1695,2)</f>
        <v>65.77</v>
      </c>
      <c r="K6" s="53"/>
      <c r="L6" s="54">
        <f aca="true" t="shared" si="5" ref="L6:L11">ROUND(J6*K6,2)</f>
        <v>0</v>
      </c>
      <c r="M6" s="55">
        <f aca="true" t="shared" si="6" ref="M6:M11">F6+I6+L6</f>
        <v>32.89</v>
      </c>
    </row>
    <row r="7" spans="1:13" ht="25.5">
      <c r="A7" s="49" t="s">
        <v>57</v>
      </c>
      <c r="B7" s="50" t="s">
        <v>100</v>
      </c>
      <c r="C7" s="51">
        <v>28.12</v>
      </c>
      <c r="D7" s="52">
        <f t="shared" si="0"/>
        <v>32.89</v>
      </c>
      <c r="E7" s="53">
        <v>1</v>
      </c>
      <c r="F7" s="54">
        <f t="shared" si="1"/>
        <v>32.89</v>
      </c>
      <c r="G7" s="52">
        <f t="shared" si="2"/>
        <v>49.33</v>
      </c>
      <c r="H7" s="53"/>
      <c r="I7" s="54">
        <f t="shared" si="3"/>
        <v>0</v>
      </c>
      <c r="J7" s="52">
        <f t="shared" si="4"/>
        <v>65.77</v>
      </c>
      <c r="K7" s="53"/>
      <c r="L7" s="54">
        <f t="shared" si="5"/>
        <v>0</v>
      </c>
      <c r="M7" s="55">
        <f t="shared" si="6"/>
        <v>32.89</v>
      </c>
    </row>
    <row r="8" spans="1:13" ht="25.5">
      <c r="A8" s="57" t="s">
        <v>57</v>
      </c>
      <c r="B8" s="50" t="s">
        <v>101</v>
      </c>
      <c r="C8" s="51">
        <v>28.12</v>
      </c>
      <c r="D8" s="52">
        <f t="shared" si="0"/>
        <v>32.89</v>
      </c>
      <c r="E8" s="53">
        <v>1</v>
      </c>
      <c r="F8" s="54">
        <f t="shared" si="1"/>
        <v>32.89</v>
      </c>
      <c r="G8" s="52">
        <f t="shared" si="2"/>
        <v>49.33</v>
      </c>
      <c r="H8" s="53"/>
      <c r="I8" s="54">
        <f t="shared" si="3"/>
        <v>0</v>
      </c>
      <c r="J8" s="52">
        <f t="shared" si="4"/>
        <v>65.77</v>
      </c>
      <c r="K8" s="53"/>
      <c r="L8" s="54">
        <f t="shared" si="5"/>
        <v>0</v>
      </c>
      <c r="M8" s="55">
        <f t="shared" si="6"/>
        <v>32.89</v>
      </c>
    </row>
    <row r="9" spans="1:13" ht="15">
      <c r="A9" s="58"/>
      <c r="B9" s="59"/>
      <c r="C9" s="51"/>
      <c r="D9" s="52">
        <f t="shared" si="0"/>
        <v>0</v>
      </c>
      <c r="E9" s="53"/>
      <c r="F9" s="54">
        <f t="shared" si="1"/>
        <v>0</v>
      </c>
      <c r="G9" s="52">
        <f t="shared" si="2"/>
        <v>0</v>
      </c>
      <c r="H9" s="53"/>
      <c r="I9" s="54">
        <f t="shared" si="3"/>
        <v>0</v>
      </c>
      <c r="J9" s="52">
        <f t="shared" si="4"/>
        <v>0</v>
      </c>
      <c r="K9" s="53"/>
      <c r="L9" s="54">
        <f t="shared" si="5"/>
        <v>0</v>
      </c>
      <c r="M9" s="55">
        <f t="shared" si="6"/>
        <v>0</v>
      </c>
    </row>
    <row r="10" spans="1:13" ht="15">
      <c r="A10" s="58"/>
      <c r="B10" s="59"/>
      <c r="C10" s="51"/>
      <c r="D10" s="52">
        <f t="shared" si="0"/>
        <v>0</v>
      </c>
      <c r="E10" s="53"/>
      <c r="F10" s="54">
        <f t="shared" si="1"/>
        <v>0</v>
      </c>
      <c r="G10" s="52">
        <f t="shared" si="2"/>
        <v>0</v>
      </c>
      <c r="H10" s="53"/>
      <c r="I10" s="54">
        <f t="shared" si="3"/>
        <v>0</v>
      </c>
      <c r="J10" s="52">
        <f t="shared" si="4"/>
        <v>0</v>
      </c>
      <c r="K10" s="53"/>
      <c r="L10" s="54">
        <f t="shared" si="5"/>
        <v>0</v>
      </c>
      <c r="M10" s="55">
        <f t="shared" si="6"/>
        <v>0</v>
      </c>
    </row>
    <row r="11" spans="1:13" ht="13.5" thickBot="1">
      <c r="A11" s="58"/>
      <c r="B11" s="59"/>
      <c r="C11" s="51"/>
      <c r="D11" s="52">
        <f t="shared" si="0"/>
        <v>0</v>
      </c>
      <c r="E11" s="53"/>
      <c r="F11" s="54">
        <f t="shared" si="1"/>
        <v>0</v>
      </c>
      <c r="G11" s="52">
        <f t="shared" si="2"/>
        <v>0</v>
      </c>
      <c r="H11" s="53"/>
      <c r="I11" s="54">
        <f t="shared" si="3"/>
        <v>0</v>
      </c>
      <c r="J11" s="52">
        <f t="shared" si="4"/>
        <v>0</v>
      </c>
      <c r="K11" s="53"/>
      <c r="L11" s="54">
        <f t="shared" si="5"/>
        <v>0</v>
      </c>
      <c r="M11" s="55">
        <f t="shared" si="6"/>
        <v>0</v>
      </c>
    </row>
    <row r="12" spans="1:13" ht="13.5" thickBot="1">
      <c r="A12" s="203" t="s">
        <v>62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60">
        <f>SUM(M6:M11)</f>
        <v>98.67</v>
      </c>
    </row>
    <row r="13" spans="1:13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</row>
    <row r="14" spans="1:13" s="64" customFormat="1" ht="13.5" thickBot="1">
      <c r="A14" s="61" t="s">
        <v>63</v>
      </c>
      <c r="B14" s="225" t="s">
        <v>64</v>
      </c>
      <c r="C14" s="226"/>
      <c r="D14" s="226"/>
      <c r="E14" s="226"/>
      <c r="F14" s="226"/>
      <c r="G14" s="226"/>
      <c r="H14" s="226"/>
      <c r="I14" s="226"/>
      <c r="J14" s="227"/>
      <c r="K14" s="62" t="s">
        <v>65</v>
      </c>
      <c r="L14" s="63" t="s">
        <v>66</v>
      </c>
      <c r="M14" s="61" t="s">
        <v>44</v>
      </c>
    </row>
    <row r="15" spans="1:13" ht="13.5" thickBot="1">
      <c r="A15" s="65" t="s">
        <v>102</v>
      </c>
      <c r="B15" s="214" t="s">
        <v>103</v>
      </c>
      <c r="C15" s="215"/>
      <c r="D15" s="215"/>
      <c r="E15" s="215"/>
      <c r="F15" s="215"/>
      <c r="G15" s="215"/>
      <c r="H15" s="215"/>
      <c r="I15" s="215"/>
      <c r="J15" s="216"/>
      <c r="K15" s="66">
        <v>46</v>
      </c>
      <c r="L15" s="67">
        <v>1</v>
      </c>
      <c r="M15" s="68">
        <f>ROUND(K15*L15,2)</f>
        <v>46</v>
      </c>
    </row>
    <row r="16" spans="1:13" ht="25.5">
      <c r="A16" s="69" t="s">
        <v>104</v>
      </c>
      <c r="B16" s="214" t="s">
        <v>105</v>
      </c>
      <c r="C16" s="215"/>
      <c r="D16" s="215"/>
      <c r="E16" s="215"/>
      <c r="F16" s="215"/>
      <c r="G16" s="215"/>
      <c r="H16" s="215"/>
      <c r="I16" s="215"/>
      <c r="J16" s="216"/>
      <c r="K16" s="70">
        <v>20</v>
      </c>
      <c r="L16" s="67">
        <v>1</v>
      </c>
      <c r="M16" s="55">
        <f aca="true" t="shared" si="7" ref="M16:M20">ROUND(K16*L16,2)</f>
        <v>20</v>
      </c>
    </row>
    <row r="17" spans="1:13" ht="15">
      <c r="A17" s="69" t="s">
        <v>106</v>
      </c>
      <c r="B17" s="200" t="s">
        <v>107</v>
      </c>
      <c r="C17" s="201"/>
      <c r="D17" s="201"/>
      <c r="E17" s="201"/>
      <c r="F17" s="201"/>
      <c r="G17" s="201"/>
      <c r="H17" s="201"/>
      <c r="I17" s="201"/>
      <c r="J17" s="202"/>
      <c r="K17" s="70">
        <v>32.5</v>
      </c>
      <c r="L17" s="67">
        <v>1</v>
      </c>
      <c r="M17" s="55">
        <f t="shared" si="7"/>
        <v>32.5</v>
      </c>
    </row>
    <row r="18" spans="1:13" ht="25.5">
      <c r="A18" s="69" t="s">
        <v>108</v>
      </c>
      <c r="B18" s="200" t="s">
        <v>109</v>
      </c>
      <c r="C18" s="201"/>
      <c r="D18" s="201"/>
      <c r="E18" s="201"/>
      <c r="F18" s="201"/>
      <c r="G18" s="201"/>
      <c r="H18" s="201"/>
      <c r="I18" s="201"/>
      <c r="J18" s="202"/>
      <c r="K18" s="70">
        <v>50</v>
      </c>
      <c r="L18" s="67">
        <v>1</v>
      </c>
      <c r="M18" s="55">
        <f t="shared" si="7"/>
        <v>50</v>
      </c>
    </row>
    <row r="19" spans="1:13" ht="15">
      <c r="A19" s="85"/>
      <c r="B19" s="200"/>
      <c r="C19" s="201"/>
      <c r="D19" s="201"/>
      <c r="E19" s="201"/>
      <c r="F19" s="201"/>
      <c r="G19" s="201"/>
      <c r="H19" s="201"/>
      <c r="I19" s="201"/>
      <c r="J19" s="202"/>
      <c r="K19" s="70"/>
      <c r="L19" s="67"/>
      <c r="M19" s="55">
        <f t="shared" si="7"/>
        <v>0</v>
      </c>
    </row>
    <row r="20" spans="1:13" ht="13.5" thickBot="1">
      <c r="A20" s="86"/>
      <c r="B20" s="228"/>
      <c r="C20" s="229"/>
      <c r="D20" s="229"/>
      <c r="E20" s="229"/>
      <c r="F20" s="229"/>
      <c r="G20" s="229"/>
      <c r="H20" s="229"/>
      <c r="I20" s="229"/>
      <c r="J20" s="230"/>
      <c r="K20" s="87"/>
      <c r="L20" s="88"/>
      <c r="M20" s="89">
        <f t="shared" si="7"/>
        <v>0</v>
      </c>
    </row>
    <row r="21" spans="1:13" ht="13.5" thickBot="1">
      <c r="A21" s="203" t="s">
        <v>78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60">
        <f>SUM(M15:M20)</f>
        <v>148.5</v>
      </c>
    </row>
    <row r="22" spans="1:13" ht="13.5" thickBo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s="73" customFormat="1" ht="15">
      <c r="A23" s="206" t="s">
        <v>79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7"/>
      <c r="L23" s="208" t="s">
        <v>80</v>
      </c>
      <c r="M23" s="210">
        <f>SUM(M12+M21)</f>
        <v>247.17000000000002</v>
      </c>
    </row>
    <row r="24" spans="1:13" s="73" customFormat="1" ht="36.75" customHeight="1" thickBot="1">
      <c r="A24" s="212" t="s">
        <v>110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3"/>
      <c r="L24" s="209"/>
      <c r="M24" s="211"/>
    </row>
    <row r="25" spans="1:13" s="73" customFormat="1" ht="15">
      <c r="A25" s="197" t="s">
        <v>82</v>
      </c>
      <c r="B25" s="197"/>
      <c r="C25" s="197"/>
      <c r="D25" s="197"/>
      <c r="E25" s="197"/>
      <c r="F25" s="197"/>
      <c r="G25" s="197"/>
      <c r="H25" s="197"/>
      <c r="I25" s="197"/>
      <c r="J25" s="198" t="s">
        <v>83</v>
      </c>
      <c r="K25" s="198"/>
      <c r="L25" s="199"/>
      <c r="M25" s="199"/>
    </row>
    <row r="29" ht="15">
      <c r="M29" s="78" t="s">
        <v>111</v>
      </c>
    </row>
  </sheetData>
  <mergeCells count="25">
    <mergeCell ref="B17:J17"/>
    <mergeCell ref="A1:M1"/>
    <mergeCell ref="A2:M2"/>
    <mergeCell ref="A3:M3"/>
    <mergeCell ref="A4:B4"/>
    <mergeCell ref="C4:C5"/>
    <mergeCell ref="D4:F4"/>
    <mergeCell ref="G4:I4"/>
    <mergeCell ref="J4:L4"/>
    <mergeCell ref="A12:L12"/>
    <mergeCell ref="A13:M13"/>
    <mergeCell ref="B14:J14"/>
    <mergeCell ref="B15:J15"/>
    <mergeCell ref="B16:J16"/>
    <mergeCell ref="A25:I25"/>
    <mergeCell ref="J25:M25"/>
    <mergeCell ref="B18:J18"/>
    <mergeCell ref="B19:J19"/>
    <mergeCell ref="B20:J20"/>
    <mergeCell ref="A21:L21"/>
    <mergeCell ref="A22:M22"/>
    <mergeCell ref="A23:K23"/>
    <mergeCell ref="L23:L24"/>
    <mergeCell ref="M23:M24"/>
    <mergeCell ref="A24:K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 topLeftCell="A1">
      <selection activeCell="C11" sqref="C11"/>
    </sheetView>
  </sheetViews>
  <sheetFormatPr defaultColWidth="9.140625" defaultRowHeight="15"/>
  <cols>
    <col min="2" max="2" width="24.7109375" style="0" bestFit="1" customWidth="1"/>
    <col min="3" max="3" width="20.28125" style="0" bestFit="1" customWidth="1"/>
  </cols>
  <sheetData>
    <row r="2" spans="2:3" ht="15">
      <c r="B2" t="s">
        <v>120</v>
      </c>
      <c r="C2" s="90">
        <v>52</v>
      </c>
    </row>
    <row r="3" spans="2:3" ht="15">
      <c r="B3" t="s">
        <v>121</v>
      </c>
      <c r="C3" s="90">
        <v>23</v>
      </c>
    </row>
    <row r="4" spans="2:3" ht="15">
      <c r="B4" t="s">
        <v>112</v>
      </c>
      <c r="C4" s="90">
        <v>38</v>
      </c>
    </row>
    <row r="5" spans="2:3" ht="15">
      <c r="B5" t="s">
        <v>113</v>
      </c>
      <c r="C5" s="34">
        <v>233</v>
      </c>
    </row>
    <row r="6" spans="2:3" ht="15">
      <c r="B6" t="s">
        <v>114</v>
      </c>
      <c r="C6" s="34">
        <f>C4*C5</f>
        <v>8854</v>
      </c>
    </row>
    <row r="7" spans="2:3" ht="15">
      <c r="B7" t="s">
        <v>115</v>
      </c>
      <c r="C7" s="34">
        <v>3542</v>
      </c>
    </row>
    <row r="8" spans="2:3" ht="15">
      <c r="B8" t="s">
        <v>116</v>
      </c>
      <c r="C8" s="34">
        <f>C6+C7</f>
        <v>12396</v>
      </c>
    </row>
    <row r="10" spans="2:3" ht="15">
      <c r="B10" t="s">
        <v>134</v>
      </c>
      <c r="C10" s="34">
        <f>C8/C2</f>
        <v>238.3846153846154</v>
      </c>
    </row>
    <row r="11" spans="2:3" ht="15">
      <c r="B11" t="s">
        <v>117</v>
      </c>
      <c r="C11" s="34">
        <f>(C10/C3)*12</f>
        <v>124.37458193979934</v>
      </c>
    </row>
    <row r="17" ht="15">
      <c r="B17" t="s">
        <v>118</v>
      </c>
    </row>
    <row r="18" ht="15">
      <c r="B18" t="s">
        <v>119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zoomScale="90" zoomScaleNormal="90" workbookViewId="0" topLeftCell="A1">
      <selection activeCell="I4" sqref="I4"/>
    </sheetView>
  </sheetViews>
  <sheetFormatPr defaultColWidth="9.140625" defaultRowHeight="15"/>
  <cols>
    <col min="2" max="2" width="41.8515625" style="0" bestFit="1" customWidth="1"/>
    <col min="3" max="3" width="12.140625" style="0" bestFit="1" customWidth="1"/>
    <col min="4" max="4" width="16.28125" style="0" bestFit="1" customWidth="1"/>
  </cols>
  <sheetData>
    <row r="1" ht="15">
      <c r="B1" t="s">
        <v>159</v>
      </c>
    </row>
    <row r="2" spans="2:4" ht="15">
      <c r="B2" t="s">
        <v>129</v>
      </c>
      <c r="C2" s="92">
        <v>100</v>
      </c>
      <c r="D2" t="s">
        <v>130</v>
      </c>
    </row>
    <row r="3" spans="2:9" ht="15">
      <c r="B3" t="s">
        <v>133</v>
      </c>
      <c r="C3">
        <v>2.54</v>
      </c>
      <c r="I3">
        <f>C3*94</f>
        <v>238.76</v>
      </c>
    </row>
    <row r="4" ht="15">
      <c r="C4" s="92"/>
    </row>
    <row r="5" ht="15">
      <c r="C5" s="92"/>
    </row>
    <row r="6" spans="2:6" ht="15">
      <c r="B6" t="s">
        <v>160</v>
      </c>
      <c r="C6" s="34">
        <v>10000</v>
      </c>
      <c r="D6" t="s">
        <v>131</v>
      </c>
      <c r="E6" s="16">
        <f>C6/5280</f>
        <v>1.893939393939394</v>
      </c>
      <c r="F6" t="s">
        <v>161</v>
      </c>
    </row>
    <row r="7" spans="2:3" ht="15">
      <c r="B7" t="s">
        <v>166</v>
      </c>
      <c r="C7" s="90">
        <v>5280</v>
      </c>
    </row>
    <row r="8" ht="15">
      <c r="E8" s="16"/>
    </row>
    <row r="9" ht="15">
      <c r="F9" s="16"/>
    </row>
    <row r="12" spans="2:4" ht="15">
      <c r="B12" t="s">
        <v>162</v>
      </c>
      <c r="C12" t="s">
        <v>164</v>
      </c>
      <c r="D12" t="s">
        <v>159</v>
      </c>
    </row>
    <row r="13" spans="2:4" ht="15">
      <c r="B13" t="s">
        <v>163</v>
      </c>
      <c r="C13">
        <v>300</v>
      </c>
      <c r="D13" s="16">
        <f>C13*E6</f>
        <v>568.1818181818182</v>
      </c>
    </row>
    <row r="14" ht="15">
      <c r="D14" s="14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Jones</dc:creator>
  <cp:keywords/>
  <dc:description/>
  <cp:lastModifiedBy>Anthony Jones</cp:lastModifiedBy>
  <dcterms:created xsi:type="dcterms:W3CDTF">2015-12-02T18:53:13Z</dcterms:created>
  <dcterms:modified xsi:type="dcterms:W3CDTF">2016-06-23T16:00:45Z</dcterms:modified>
  <cp:category/>
  <cp:version/>
  <cp:contentType/>
  <cp:contentStatus/>
</cp:coreProperties>
</file>