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gahanna.gov\profile\fd3\jeremy.vanmeter\Desktop\"/>
    </mc:Choice>
  </mc:AlternateContent>
  <xr:revisionPtr revIDLastSave="0" documentId="8_{67470FC9-7E4B-4528-9A86-4B9B15C603F0}" xr6:coauthVersionLast="47" xr6:coauthVersionMax="47" xr10:uidLastSave="{00000000-0000-0000-0000-000000000000}"/>
  <bookViews>
    <workbookView xWindow="-110" yWindow="-110" windowWidth="19420" windowHeight="10420" xr2:uid="{8B633A99-07B3-4A3B-ACF9-826202945AB2}"/>
  </bookViews>
  <sheets>
    <sheet name="Cost Share Model" sheetId="1" r:id="rId1"/>
    <sheet name="Payment Matrix" sheetId="2" r:id="rId2"/>
    <sheet name="Milestone Payment Schedu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7" i="1"/>
  <c r="E30" i="2"/>
  <c r="F30" i="2"/>
  <c r="I30" i="2"/>
  <c r="J30" i="2"/>
  <c r="K30" i="2"/>
  <c r="M30" i="2"/>
  <c r="E25" i="2"/>
  <c r="F25" i="2"/>
  <c r="I25" i="2"/>
  <c r="J25" i="2"/>
  <c r="K25" i="2"/>
  <c r="M25" i="2"/>
  <c r="E20" i="2"/>
  <c r="F20" i="2"/>
  <c r="I20" i="2"/>
  <c r="J20" i="2"/>
  <c r="K20" i="2"/>
  <c r="M20" i="2"/>
  <c r="E15" i="2"/>
  <c r="F15" i="2"/>
  <c r="I15" i="2"/>
  <c r="J15" i="2"/>
  <c r="K15" i="2"/>
  <c r="M15" i="2"/>
  <c r="Q29" i="2"/>
  <c r="Q24" i="2"/>
  <c r="Q19" i="2"/>
  <c r="Q14" i="2"/>
  <c r="E10" i="2"/>
  <c r="F10" i="2"/>
  <c r="I10" i="2"/>
  <c r="J10" i="2"/>
  <c r="K10" i="2"/>
  <c r="M10" i="2"/>
  <c r="Q9" i="2"/>
  <c r="G11" i="1" l="1"/>
  <c r="C29" i="2" s="1"/>
  <c r="F11" i="1"/>
  <c r="C24" i="2" s="1"/>
  <c r="E11" i="1"/>
  <c r="C19" i="2" s="1"/>
  <c r="D11" i="1"/>
  <c r="C14" i="2" s="1"/>
  <c r="C11" i="1"/>
  <c r="H25" i="1"/>
  <c r="G26" i="1" s="1"/>
  <c r="H21" i="1"/>
  <c r="C22" i="1" s="1"/>
  <c r="H17" i="1"/>
  <c r="C18" i="1" s="1"/>
  <c r="H11" i="1" l="1"/>
  <c r="C9" i="2"/>
  <c r="D18" i="1"/>
  <c r="E18" i="1"/>
  <c r="F18" i="1"/>
  <c r="G18" i="1"/>
  <c r="D26" i="1"/>
  <c r="E26" i="1"/>
  <c r="F26" i="1"/>
  <c r="D22" i="1"/>
  <c r="E22" i="1"/>
  <c r="F22" i="1"/>
  <c r="G22" i="1"/>
  <c r="C26" i="1"/>
  <c r="G28" i="1" l="1"/>
  <c r="G5" i="1" s="1"/>
  <c r="H18" i="1"/>
  <c r="E28" i="1"/>
  <c r="E5" i="1" s="1"/>
  <c r="D28" i="1"/>
  <c r="F28" i="1"/>
  <c r="F5" i="1" s="1"/>
  <c r="H26" i="1"/>
  <c r="H22" i="1"/>
  <c r="C28" i="1"/>
  <c r="D5" i="1" l="1"/>
  <c r="D34" i="1"/>
  <c r="D6" i="1" s="1"/>
  <c r="C13" i="2" s="1"/>
  <c r="G13" i="2" s="1"/>
  <c r="C4" i="1"/>
  <c r="C7" i="2" s="1"/>
  <c r="C5" i="1"/>
  <c r="G4" i="1"/>
  <c r="C27" i="2" s="1"/>
  <c r="G34" i="1"/>
  <c r="G6" i="1" s="1"/>
  <c r="C28" i="2" s="1"/>
  <c r="G28" i="2" s="1"/>
  <c r="D4" i="1"/>
  <c r="C12" i="2" s="1"/>
  <c r="E34" i="1"/>
  <c r="E6" i="1" s="1"/>
  <c r="C18" i="2" s="1"/>
  <c r="G18" i="2" s="1"/>
  <c r="E4" i="1"/>
  <c r="C17" i="2" s="1"/>
  <c r="F34" i="1"/>
  <c r="F6" i="1" s="1"/>
  <c r="C23" i="2" s="1"/>
  <c r="G23" i="2" s="1"/>
  <c r="F4" i="1"/>
  <c r="C22" i="2" s="1"/>
  <c r="H28" i="1"/>
  <c r="C34" i="1"/>
  <c r="C6" i="1" s="1"/>
  <c r="C8" i="2" s="1"/>
  <c r="G8" i="2" s="1"/>
  <c r="Q13" i="2" l="1"/>
  <c r="G15" i="2"/>
  <c r="O7" i="2"/>
  <c r="O10" i="2" s="1"/>
  <c r="P7" i="2"/>
  <c r="P10" i="2" s="1"/>
  <c r="C10" i="2"/>
  <c r="N7" i="2"/>
  <c r="N10" i="2" s="1"/>
  <c r="L7" i="2"/>
  <c r="L10" i="2" s="1"/>
  <c r="D7" i="2"/>
  <c r="H7" i="2"/>
  <c r="H10" i="2" s="1"/>
  <c r="G25" i="2"/>
  <c r="Q23" i="2"/>
  <c r="N12" i="2"/>
  <c r="N15" i="2" s="1"/>
  <c r="L12" i="2"/>
  <c r="L15" i="2" s="1"/>
  <c r="P12" i="2"/>
  <c r="P15" i="2" s="1"/>
  <c r="H12" i="2"/>
  <c r="H15" i="2" s="1"/>
  <c r="D12" i="2"/>
  <c r="C15" i="2"/>
  <c r="O12" i="2"/>
  <c r="O15" i="2" s="1"/>
  <c r="N27" i="2"/>
  <c r="N30" i="2" s="1"/>
  <c r="L27" i="2"/>
  <c r="L30" i="2" s="1"/>
  <c r="O27" i="2"/>
  <c r="O30" i="2" s="1"/>
  <c r="H27" i="2"/>
  <c r="H30" i="2" s="1"/>
  <c r="D27" i="2"/>
  <c r="C30" i="2"/>
  <c r="P27" i="2"/>
  <c r="P30" i="2" s="1"/>
  <c r="G10" i="2"/>
  <c r="Q8" i="2"/>
  <c r="O22" i="2"/>
  <c r="O25" i="2" s="1"/>
  <c r="P22" i="2"/>
  <c r="P25" i="2" s="1"/>
  <c r="N22" i="2"/>
  <c r="N25" i="2" s="1"/>
  <c r="L22" i="2"/>
  <c r="L25" i="2" s="1"/>
  <c r="H22" i="2"/>
  <c r="H25" i="2" s="1"/>
  <c r="D22" i="2"/>
  <c r="C25" i="2"/>
  <c r="O17" i="2"/>
  <c r="O20" i="2" s="1"/>
  <c r="N17" i="2"/>
  <c r="N20" i="2" s="1"/>
  <c r="P17" i="2"/>
  <c r="P20" i="2" s="1"/>
  <c r="L17" i="2"/>
  <c r="L20" i="2" s="1"/>
  <c r="H17" i="2"/>
  <c r="H20" i="2" s="1"/>
  <c r="D17" i="2"/>
  <c r="C20" i="2"/>
  <c r="Q18" i="2"/>
  <c r="G20" i="2"/>
  <c r="G30" i="2"/>
  <c r="Q28" i="2"/>
  <c r="H4" i="1"/>
  <c r="D10" i="2" l="1"/>
  <c r="Q7" i="2"/>
  <c r="Q27" i="2"/>
  <c r="D30" i="2"/>
  <c r="D25" i="2"/>
  <c r="Q22" i="2"/>
  <c r="D20" i="2"/>
  <c r="Q17" i="2"/>
  <c r="Q12" i="2"/>
  <c r="D15" i="2"/>
  <c r="H34" i="1"/>
  <c r="H5" i="1"/>
  <c r="H6" i="1"/>
  <c r="L6" i="1"/>
  <c r="N6" i="1" s="1"/>
  <c r="L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tc={F4B5B730-CEC5-42F7-9989-397647DCEE8A}</author>
    <author>tc={027CD86D-ABD0-4523-927E-4F71F1D0B6CB}</author>
    <author>tc={700CC80B-8244-4724-B282-7948505991AC}</author>
    <author>tc={DA021D7E-9501-476D-BBFB-0EE99A78A70E}</author>
    <author>tc={58DA387E-C175-45D6-9CDC-2B4F45864041}</author>
    <author>tc={5D00C6E5-92AF-4057-A3A5-CAB549F13CCF}</author>
    <author>tc={9CD8A137-D70B-4A64-95F0-123AFB7C43F2}</author>
  </authors>
  <commentList>
    <comment ref="J4" authorId="0" shapeId="0" xr:uid="{F4B5B730-CEC5-42F7-9989-397647DCEE8A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due as per contractual milestone payment schedule</t>
      </text>
    </comment>
    <comment ref="L4" authorId="1" shapeId="0" xr:uid="{027CD86D-ABD0-4523-927E-4F71F1D0B6CB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Startup cost from quote/contract here</t>
      </text>
    </comment>
    <comment ref="J5" authorId="2" shapeId="0" xr:uid="{700CC80B-8244-4724-B282-7948505991AC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due at "Delivery Date". This will be after completion of BPR, HW install, SW install, and Functional Testing. Expected to be 12-16 months after project start.</t>
      </text>
    </comment>
    <comment ref="L5" authorId="3" shapeId="0" xr:uid="{DA021D7E-9501-476D-BBFB-0EE99A78A70E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Maintenance / Subscription from contract here</t>
      </text>
    </comment>
    <comment ref="B11" authorId="4" shapeId="0" xr:uid="{58DA387E-C175-45D6-9CDC-2B4F45864041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  <comment ref="L13" authorId="5" shapeId="0" xr:uid="{5D00C6E5-92AF-4057-A3A5-CAB549F13CC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Startup, Subscription w/Stipend, and MCP PM/Implementation</t>
      </text>
    </comment>
    <comment ref="I31" authorId="6" shapeId="0" xr:uid="{9CD8A137-D70B-4A64-95F0-123AFB7C43F2}">
      <text>
        <t>[Threaded comment]
Your version of Excel allows you to read this threaded comment; however, any edits to it will get removed if the file is opened in a newer version of Excel. Learn more: https://go.microsoft.com/fwlink/?linkid=870924
Comment:
    Modify percentage for "host agency" here. Example: 18% = 1.18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tc={3E46630D-03FC-4004-86FC-7FC770D1D59F}</author>
    <author>tc={681AF4F4-0987-4E14-BA52-7EDD4B10C28F}</author>
    <author>tc={37D61076-6A07-4A65-B258-A2DDF81674C7}</author>
    <author>tc={770A1B08-53D2-404E-BDA4-6C7231C03038}</author>
    <author>tc={D095C019-0DC0-4EB0-A93D-97A96402F50E}</author>
  </authors>
  <commentList>
    <comment ref="B9" authorId="0" shapeId="0" xr:uid="{3E46630D-03FC-4004-86FC-7FC770D1D59F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  <comment ref="B14" authorId="1" shapeId="0" xr:uid="{681AF4F4-0987-4E14-BA52-7EDD4B10C28F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  <comment ref="B19" authorId="2" shapeId="0" xr:uid="{37D61076-6A07-4A65-B258-A2DDF81674C7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  <comment ref="B24" authorId="3" shapeId="0" xr:uid="{770A1B08-53D2-404E-BDA4-6C7231C0303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  <comment ref="B29" authorId="4" shapeId="0" xr:uid="{D095C019-0DC0-4EB0-A93D-97A96402F50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Provided by MCP. Billed as hours are utilized</t>
      </text>
    </comment>
  </commentList>
</comments>
</file>

<file path=xl/sharedStrings.xml><?xml version="1.0" encoding="utf-8"?>
<sst xmlns="http://schemas.openxmlformats.org/spreadsheetml/2006/main" count="110" uniqueCount="58">
  <si>
    <t>Bexley</t>
  </si>
  <si>
    <t>Gahanna</t>
  </si>
  <si>
    <t>Grandview Heights</t>
  </si>
  <si>
    <t>Whitehall</t>
  </si>
  <si>
    <t>Population</t>
  </si>
  <si>
    <t>Amount</t>
  </si>
  <si>
    <t>Percentage</t>
  </si>
  <si>
    <t>Sworn Officers</t>
  </si>
  <si>
    <t>MDTs</t>
  </si>
  <si>
    <t>Total</t>
  </si>
  <si>
    <t>Combined</t>
  </si>
  <si>
    <t>Initial Purchase Cost Sharing Breakout</t>
  </si>
  <si>
    <t>Maintenance / Subscription Cost Sharing Breakout</t>
  </si>
  <si>
    <t>Start Up Cost Breakout</t>
  </si>
  <si>
    <t>Startup Cost:</t>
  </si>
  <si>
    <t>Maint/Sub Cost:</t>
  </si>
  <si>
    <t>Reynoldsburg</t>
  </si>
  <si>
    <t>Subscription Costs</t>
  </si>
  <si>
    <t>Project Total:</t>
  </si>
  <si>
    <t>PM/Implementation Support</t>
  </si>
  <si>
    <t>MCP PM/Imp</t>
  </si>
  <si>
    <t>Maint/Sub w/ Stipend:</t>
  </si>
  <si>
    <t>Subscription w/ Stipend</t>
  </si>
  <si>
    <t>Implementation Services</t>
  </si>
  <si>
    <t>Due on Effective Date</t>
  </si>
  <si>
    <t>Due at Completion of Business Process Review</t>
  </si>
  <si>
    <t>Due at completion of Functional Acceptance Testing</t>
  </si>
  <si>
    <t xml:space="preserve">Due at completion End User Training </t>
  </si>
  <si>
    <t>Due at Go Live</t>
  </si>
  <si>
    <t>Due at completion of System Acceptance</t>
  </si>
  <si>
    <t>Subscription Services</t>
  </si>
  <si>
    <t>Delivery Date</t>
  </si>
  <si>
    <t>Go Live</t>
  </si>
  <si>
    <t>TOTAL:</t>
  </si>
  <si>
    <t>TOTAL</t>
  </si>
  <si>
    <t>BPR Complete</t>
  </si>
  <si>
    <t>Effective Date</t>
  </si>
  <si>
    <t>Functional Acceptance Test</t>
  </si>
  <si>
    <t>End User Training</t>
  </si>
  <si>
    <t>System Acceptance Testing</t>
  </si>
  <si>
    <t>Key Dates / Events</t>
  </si>
  <si>
    <t>JUN 2024</t>
  </si>
  <si>
    <t>MAY 2024</t>
  </si>
  <si>
    <t>JUL 2024</t>
  </si>
  <si>
    <t>MAY 2025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</si>
  <si>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</si>
  <si>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</si>
  <si>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</si>
  <si>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</si>
  <si>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</si>
  <si>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</si>
  <si>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</si>
  <si>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</si>
  <si>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</si>
  <si>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Sub w/ Stipend Year 2</t>
  </si>
  <si>
    <t>Sub w/ Stipend Year 3</t>
  </si>
  <si>
    <t>Sub w/ Stipend Year 4</t>
  </si>
  <si>
    <t>Sub w/ Stipend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</si>
</sst>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0" fontId="1" fillId="0" borderId="0" xfId="0" applyNumberFormat="1" applyFont="1"/>
    <xf numFmtId="10" fontId="0" fillId="0" borderId="0" xfId="0" applyNumberFormat="1"/>
    <xf numFmtId="0" fontId="1" fillId="0" borderId="4" xfId="0" applyFont="1" applyBorder="1" applyAlignment="1">
      <alignment horizontal="right"/>
    </xf>
    <xf numFmtId="165" fontId="1" fillId="0" borderId="0" xfId="0" applyNumberFormat="1" applyFont="1"/>
    <xf numFmtId="0" fontId="1" fillId="0" borderId="0" xfId="0" applyFont="1"/>
    <xf numFmtId="0" fontId="4" fillId="0" borderId="0" xfId="0" applyFont="1"/>
    <xf numFmtId="0" fontId="0" fillId="0" borderId="5" xfId="0" applyBorder="1"/>
    <xf numFmtId="0" fontId="1" fillId="0" borderId="0" xfId="0" applyFont="1" applyAlignment="1">
      <alignment horizontal="right"/>
    </xf>
    <xf numFmtId="9" fontId="0" fillId="0" borderId="0" xfId="0" applyNumberFormat="1"/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" fontId="1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0" fontId="3" fillId="0" borderId="0" xfId="0" applyFont="1"/>
    <xf numFmtId="165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/>
    <xf numFmtId="165" fontId="1" fillId="0" borderId="3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165" fontId="1" fillId="0" borderId="5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/>
    <xf numFmtId="0" fontId="1" fillId="0" borderId="5" xfId="0" applyFont="1" applyBorder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m Potteiger" id="{7B743CE7-2C80-4719-ACE2-9FB31B513C88}" userId="S::jimpotteiger@missioncriticalpartners.com::1600f175-f573-41ba-abf3-393a4a7357f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" dT="2024-03-29T18:36:36.54" personId="{7B743CE7-2C80-4719-ACE2-9FB31B513C88}" id="{F4B5B730-CEC5-42F7-9989-397647DCEE8A}">
    <text>Will be due as per contractual milestone payment schedule</text>
  </threadedComment>
  <threadedComment ref="L4" dT="2024-03-21T14:34:47.56" personId="{7B743CE7-2C80-4719-ACE2-9FB31B513C88}" id="{027CD86D-ABD0-4523-927E-4F71F1D0B6CB}">
    <text>Insert Startup cost from quote/contract here</text>
  </threadedComment>
  <threadedComment ref="J5" dT="2024-03-29T18:36:11.30" personId="{7B743CE7-2C80-4719-ACE2-9FB31B513C88}" id="{700CC80B-8244-4724-B282-7948505991AC}">
    <text>Will be due at "Delivery Date". This will be after completion of BPR, HW install, SW install, and Functional Testing. Expected to be 12-16 months after project start.</text>
  </threadedComment>
  <threadedComment ref="L5" dT="2024-03-21T14:35:17.88" personId="{7B743CE7-2C80-4719-ACE2-9FB31B513C88}" id="{DA021D7E-9501-476D-BBFB-0EE99A78A70E}">
    <text>Insert Maintenance / Subscription from contract here</text>
  </threadedComment>
  <threadedComment ref="B11" dT="2024-04-08T15:58:02.59" personId="{7B743CE7-2C80-4719-ACE2-9FB31B513C88}" id="{58DA387E-C175-45D6-9CDC-2B4F45864041}">
    <text>Provided by MCP. Billed as hours are utilized</text>
  </threadedComment>
  <threadedComment ref="L13" dT="2024-04-08T17:29:37.19" personId="{7B743CE7-2C80-4719-ACE2-9FB31B513C88}" id="{5D00C6E5-92AF-4057-A3A5-CAB549F13CCF}">
    <text>Includes Startup, Subscription w/Stipend, and MCP PM/Implementation</text>
  </threadedComment>
  <threadedComment ref="I31" dT="2024-03-21T14:35:58.99" personId="{7B743CE7-2C80-4719-ACE2-9FB31B513C88}" id="{9CD8A137-D70B-4A64-95F0-123AFB7C43F2}">
    <text>Modify percentage for "host agency" here. Example: 18% = 1.18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4-04-08T15:58:02.59" personId="{7B743CE7-2C80-4719-ACE2-9FB31B513C88}" id="{3E46630D-03FC-4004-86FC-7FC770D1D59F}">
    <text>Provided by MCP. Billed as hours are utilized</text>
  </threadedComment>
  <threadedComment ref="B14" dT="2024-04-08T15:58:02.59" personId="{7B743CE7-2C80-4719-ACE2-9FB31B513C88}" id="{681AF4F4-0987-4E14-BA52-7EDD4B10C28F}">
    <text>Provided by MCP. Billed as hours are utilized</text>
  </threadedComment>
  <threadedComment ref="B19" dT="2024-04-08T15:58:02.59" personId="{7B743CE7-2C80-4719-ACE2-9FB31B513C88}" id="{37D61076-6A07-4A65-B258-A2DDF81674C7}">
    <text>Provided by MCP. Billed as hours are utilized</text>
  </threadedComment>
  <threadedComment ref="B24" dT="2024-04-08T15:58:02.59" personId="{7B743CE7-2C80-4719-ACE2-9FB31B513C88}" id="{770A1B08-53D2-404E-BDA4-6C7231C03038}">
    <text>Provided by MCP. Billed as hours are utilized</text>
  </threadedComment>
  <threadedComment ref="B29" dT="2024-04-08T15:58:02.59" personId="{7B743CE7-2C80-4719-ACE2-9FB31B513C88}" id="{D095C019-0DC0-4EB0-A93D-97A96402F50E}">
    <text>Provided by MCP. Billed as hours are utilized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90AE-207B-4AE5-8F61-49E63ECE6EC6}">
  <dimension ref="B3:N48"/>
  <sheetViews>
    <sheetView tabSelected="1" topLeftCell="B1" zoomScale="110" zoomScaleNormal="110" workbookViewId="0">
      <selection activeCell="I16" sqref="I16"/>
    </sheetView>
  </sheetViews>
  <sheetFormatPr defaultRowHeight="14.5" x14ac:dyDescent="0.35"/>
  <cols>
    <col min="2" max="2" width="22.90625" bestFit="1" customWidth="1"/>
    <col min="3" max="7" width="17.6328125" customWidth="1"/>
    <col min="8" max="8" width="11.08984375" bestFit="1" customWidth="1"/>
    <col min="9" max="9" width="8.36328125" customWidth="1"/>
    <col min="10" max="10" width="9.6328125" customWidth="1"/>
    <col min="11" max="11" width="9.54296875" customWidth="1"/>
    <col min="14" max="14" width="12.54296875" customWidth="1"/>
  </cols>
  <sheetData>
    <row r="3" spans="2:14" x14ac:dyDescent="0.35">
      <c r="C3" s="1" t="s">
        <v>0</v>
      </c>
      <c r="D3" s="1" t="s">
        <v>1</v>
      </c>
      <c r="E3" s="1" t="s">
        <v>2</v>
      </c>
      <c r="F3" s="1" t="s">
        <v>16</v>
      </c>
      <c r="G3" s="1" t="s">
        <v>3</v>
      </c>
      <c r="H3" s="1" t="s">
        <v>9</v>
      </c>
    </row>
    <row r="4" spans="2:14" x14ac:dyDescent="0.35">
      <c r="B4" s="12" t="s">
        <v>13</v>
      </c>
      <c r="C4" s="7">
        <f>(C28*L4)</f>
        <v>38659.113029521293</v>
      </c>
      <c r="D4" s="7">
        <f>(D28*L4)</f>
        <v>77482.066755117077</v>
      </c>
      <c r="E4" s="7">
        <f>(E28*L4)</f>
        <v>23262.733497243542</v>
      </c>
      <c r="F4" s="7">
        <f>(F28*L4)</f>
        <v>90706.437097109985</v>
      </c>
      <c r="G4" s="7">
        <f>(G28*L4)</f>
        <v>60345.399621008102</v>
      </c>
      <c r="H4" s="7">
        <f t="shared" ref="H4:H11" si="0">SUM(C4:G4)</f>
        <v>290455.75</v>
      </c>
      <c r="J4" s="31" t="s">
        <v>14</v>
      </c>
      <c r="K4" s="32"/>
      <c r="L4" s="33">
        <v>290455.75</v>
      </c>
      <c r="M4" s="34"/>
    </row>
    <row r="5" spans="2:14" x14ac:dyDescent="0.35">
      <c r="B5" s="12" t="s">
        <v>17</v>
      </c>
      <c r="C5" s="7">
        <f>(C28*L5)</f>
        <v>45651.064505750815</v>
      </c>
      <c r="D5" s="7">
        <f>(D28*L5)</f>
        <v>91495.602208350509</v>
      </c>
      <c r="E5" s="7">
        <f>(E28*L5)</f>
        <v>27470.070165650282</v>
      </c>
      <c r="F5" s="7">
        <f>(F28*L5)</f>
        <v>107111.75416375743</v>
      </c>
      <c r="G5" s="7">
        <f>(G28*L5)</f>
        <v>71259.568956490984</v>
      </c>
      <c r="H5" s="7">
        <f t="shared" si="0"/>
        <v>342988.06000000006</v>
      </c>
      <c r="J5" s="35" t="s">
        <v>15</v>
      </c>
      <c r="K5" s="36"/>
      <c r="L5" s="37">
        <v>342988.06</v>
      </c>
      <c r="M5" s="38"/>
    </row>
    <row r="6" spans="2:14" x14ac:dyDescent="0.35">
      <c r="B6" s="12" t="s">
        <v>22</v>
      </c>
      <c r="C6" s="7">
        <f>(C34*L5)</f>
        <v>53868.256116785953</v>
      </c>
      <c r="D6" s="7">
        <f>(D34*L5)</f>
        <v>91495.602208350509</v>
      </c>
      <c r="E6" s="7">
        <f>(E34*L5)</f>
        <v>32414.682795467335</v>
      </c>
      <c r="F6" s="7">
        <f>(F34*L5)</f>
        <v>126391.86991323376</v>
      </c>
      <c r="G6" s="7">
        <f>(G34*L5)</f>
        <v>84086.291368659353</v>
      </c>
      <c r="H6" s="7">
        <f t="shared" si="0"/>
        <v>388256.70240249694</v>
      </c>
      <c r="J6" s="35" t="s">
        <v>21</v>
      </c>
      <c r="K6" s="36"/>
      <c r="L6" s="37">
        <f>SUM(C6:G6)</f>
        <v>388256.70240249694</v>
      </c>
      <c r="M6" s="45"/>
      <c r="N6" s="11">
        <f>(L6-L5)</f>
        <v>45268.642402496946</v>
      </c>
    </row>
    <row r="7" spans="2:14" x14ac:dyDescent="0.35">
      <c r="B7" s="12" t="s">
        <v>54</v>
      </c>
      <c r="C7" s="7">
        <v>53868.256116785953</v>
      </c>
      <c r="D7" s="7">
        <v>91495.602208350509</v>
      </c>
      <c r="E7" s="7">
        <v>32414.682795467335</v>
      </c>
      <c r="F7" s="7">
        <v>126391.86991323376</v>
      </c>
      <c r="G7" s="7">
        <v>84086.291368659353</v>
      </c>
      <c r="H7" s="7">
        <f t="shared" si="0"/>
        <v>388256.70240249694</v>
      </c>
      <c r="J7" s="10"/>
      <c r="K7" s="15"/>
      <c r="L7" s="11"/>
      <c r="M7" s="26"/>
      <c r="N7" s="11"/>
    </row>
    <row r="8" spans="2:14" x14ac:dyDescent="0.35">
      <c r="B8" s="12" t="s">
        <v>55</v>
      </c>
      <c r="C8" s="7">
        <v>53868.256116785953</v>
      </c>
      <c r="D8" s="7">
        <v>91495.602208350509</v>
      </c>
      <c r="E8" s="7">
        <v>32414.682795467335</v>
      </c>
      <c r="F8" s="7">
        <v>126391.86991323376</v>
      </c>
      <c r="G8" s="7">
        <v>84086.291368659353</v>
      </c>
      <c r="H8" s="7">
        <f t="shared" si="0"/>
        <v>388256.70240249694</v>
      </c>
      <c r="J8" s="10"/>
      <c r="K8" s="15"/>
      <c r="L8" s="11"/>
      <c r="M8" s="26"/>
      <c r="N8" s="11"/>
    </row>
    <row r="9" spans="2:14" x14ac:dyDescent="0.35">
      <c r="B9" s="12" t="s">
        <v>56</v>
      </c>
      <c r="C9" s="7">
        <v>53868.256116785953</v>
      </c>
      <c r="D9" s="7">
        <v>91495.602208350509</v>
      </c>
      <c r="E9" s="7">
        <v>32414.682795467335</v>
      </c>
      <c r="F9" s="7">
        <v>126391.86991323376</v>
      </c>
      <c r="G9" s="7">
        <v>84086.291368659353</v>
      </c>
      <c r="H9" s="7">
        <f t="shared" si="0"/>
        <v>388256.70240249694</v>
      </c>
      <c r="J9" s="10"/>
      <c r="K9" s="15"/>
      <c r="L9" s="11"/>
      <c r="M9" s="26"/>
      <c r="N9" s="11"/>
    </row>
    <row r="10" spans="2:14" x14ac:dyDescent="0.35">
      <c r="B10" s="12" t="s">
        <v>57</v>
      </c>
      <c r="C10" s="7">
        <v>53868.256116785953</v>
      </c>
      <c r="D10" s="7">
        <v>91495.602208350509</v>
      </c>
      <c r="E10" s="7">
        <v>32414.682795467335</v>
      </c>
      <c r="F10" s="7">
        <v>126391.86991323376</v>
      </c>
      <c r="G10" s="7">
        <v>84086.291368659353</v>
      </c>
      <c r="H10" s="7">
        <f t="shared" si="0"/>
        <v>388256.70240249694</v>
      </c>
      <c r="J10" s="10"/>
      <c r="K10" s="15"/>
      <c r="L10" s="11"/>
      <c r="M10" s="26"/>
      <c r="N10" s="11"/>
    </row>
    <row r="11" spans="2:14" x14ac:dyDescent="0.35">
      <c r="B11" s="13" t="s">
        <v>19</v>
      </c>
      <c r="C11" s="7">
        <f>(L11*0.2)</f>
        <v>25246.2</v>
      </c>
      <c r="D11" s="7">
        <f>(L11*0.2)</f>
        <v>25246.2</v>
      </c>
      <c r="E11" s="7">
        <f>(L11*0.2)</f>
        <v>25246.2</v>
      </c>
      <c r="F11" s="7">
        <f>(L11*0.2)</f>
        <v>25246.2</v>
      </c>
      <c r="G11" s="7">
        <f>(L11*0.2)</f>
        <v>25246.2</v>
      </c>
      <c r="H11" s="7">
        <f t="shared" si="0"/>
        <v>126231</v>
      </c>
      <c r="J11" s="35" t="s">
        <v>20</v>
      </c>
      <c r="K11" s="43"/>
      <c r="L11" s="37">
        <v>126231</v>
      </c>
      <c r="M11" s="44"/>
    </row>
    <row r="12" spans="2:14" x14ac:dyDescent="0.35">
      <c r="J12" s="10"/>
      <c r="K12" s="2"/>
      <c r="L12" s="11"/>
      <c r="M12" s="14"/>
    </row>
    <row r="13" spans="2:14" x14ac:dyDescent="0.35">
      <c r="B13" s="30" t="s">
        <v>11</v>
      </c>
      <c r="C13" s="30"/>
      <c r="D13" s="30"/>
      <c r="E13" s="30"/>
      <c r="F13" s="30"/>
      <c r="G13" s="30"/>
      <c r="H13" s="30"/>
      <c r="J13" s="41" t="s">
        <v>18</v>
      </c>
      <c r="K13" s="42"/>
      <c r="L13" s="39">
        <f>SUM(L4+L6+L11)</f>
        <v>804943.45240249694</v>
      </c>
      <c r="M13" s="40"/>
    </row>
    <row r="14" spans="2:14" x14ac:dyDescent="0.35">
      <c r="C14" s="1" t="s">
        <v>0</v>
      </c>
      <c r="D14" s="1" t="s">
        <v>1</v>
      </c>
      <c r="E14" s="1" t="s">
        <v>2</v>
      </c>
      <c r="F14" s="1" t="s">
        <v>16</v>
      </c>
      <c r="G14" s="1" t="s">
        <v>3</v>
      </c>
      <c r="H14" s="1" t="s">
        <v>9</v>
      </c>
    </row>
    <row r="16" spans="2:14" x14ac:dyDescent="0.35">
      <c r="B16" s="4" t="s">
        <v>4</v>
      </c>
      <c r="C16" s="3"/>
      <c r="D16" s="3"/>
      <c r="E16" s="3"/>
      <c r="F16" s="3"/>
      <c r="G16" s="3"/>
    </row>
    <row r="17" spans="2:9" x14ac:dyDescent="0.35">
      <c r="B17" s="2" t="s">
        <v>5</v>
      </c>
      <c r="C17" s="3">
        <v>13928</v>
      </c>
      <c r="D17" s="3">
        <v>36049</v>
      </c>
      <c r="E17" s="3">
        <v>8600</v>
      </c>
      <c r="F17" s="3">
        <v>41076</v>
      </c>
      <c r="G17" s="3">
        <v>20101</v>
      </c>
      <c r="H17">
        <f>SUM(C17:G17)</f>
        <v>119754</v>
      </c>
    </row>
    <row r="18" spans="2:9" x14ac:dyDescent="0.35">
      <c r="B18" s="2" t="s">
        <v>6</v>
      </c>
      <c r="C18" s="5">
        <f>(C17/H17)</f>
        <v>0.11630509210548291</v>
      </c>
      <c r="D18" s="5">
        <f>(D17/H17)</f>
        <v>0.30102543547605926</v>
      </c>
      <c r="E18" s="5">
        <f>(E17/H17)</f>
        <v>7.1813885131185598E-2</v>
      </c>
      <c r="F18" s="5">
        <f>(F17/H17)</f>
        <v>0.34300315647076507</v>
      </c>
      <c r="G18" s="5">
        <f>(G17/H17)</f>
        <v>0.16785243081650716</v>
      </c>
      <c r="H18" s="6">
        <f>SUM(C18:G18)</f>
        <v>0.99999999999999989</v>
      </c>
    </row>
    <row r="19" spans="2:9" x14ac:dyDescent="0.35">
      <c r="C19" s="3"/>
      <c r="D19" s="3"/>
      <c r="E19" s="3"/>
      <c r="F19" s="3"/>
      <c r="G19" s="3"/>
    </row>
    <row r="20" spans="2:9" x14ac:dyDescent="0.35">
      <c r="B20" s="4" t="s">
        <v>7</v>
      </c>
      <c r="C20" s="3"/>
      <c r="D20" s="3"/>
      <c r="E20" s="3"/>
      <c r="F20" s="3"/>
      <c r="G20" s="3"/>
    </row>
    <row r="21" spans="2:9" x14ac:dyDescent="0.35">
      <c r="B21" s="2" t="s">
        <v>5</v>
      </c>
      <c r="C21" s="3">
        <v>33</v>
      </c>
      <c r="D21" s="3">
        <v>67</v>
      </c>
      <c r="E21" s="3">
        <v>22</v>
      </c>
      <c r="F21" s="3">
        <v>73</v>
      </c>
      <c r="G21" s="3">
        <v>56</v>
      </c>
      <c r="H21">
        <f>SUM(C21:G21)</f>
        <v>251</v>
      </c>
    </row>
    <row r="22" spans="2:9" x14ac:dyDescent="0.35">
      <c r="B22" s="2" t="s">
        <v>6</v>
      </c>
      <c r="C22" s="5">
        <f>(C21/H21)</f>
        <v>0.13147410358565736</v>
      </c>
      <c r="D22" s="5">
        <f>(D21/H21)</f>
        <v>0.26693227091633465</v>
      </c>
      <c r="E22" s="5">
        <f>(E21/H21)</f>
        <v>8.7649402390438252E-2</v>
      </c>
      <c r="F22" s="5">
        <f>(F21/H21)</f>
        <v>0.2908366533864542</v>
      </c>
      <c r="G22" s="5">
        <f>(G21/H21)</f>
        <v>0.22310756972111553</v>
      </c>
      <c r="H22" s="6">
        <f>SUM(C22:G22)</f>
        <v>1</v>
      </c>
    </row>
    <row r="23" spans="2:9" x14ac:dyDescent="0.35">
      <c r="C23" s="3"/>
      <c r="D23" s="3"/>
      <c r="E23" s="3"/>
      <c r="F23" s="3"/>
      <c r="G23" s="3"/>
    </row>
    <row r="24" spans="2:9" x14ac:dyDescent="0.35">
      <c r="B24" s="4" t="s">
        <v>8</v>
      </c>
      <c r="C24" s="3"/>
      <c r="D24" s="3"/>
      <c r="E24" s="3"/>
      <c r="F24" s="3"/>
      <c r="G24" s="3"/>
    </row>
    <row r="25" spans="2:9" x14ac:dyDescent="0.35">
      <c r="B25" s="2" t="s">
        <v>5</v>
      </c>
      <c r="C25" s="3">
        <v>15</v>
      </c>
      <c r="D25" s="3">
        <v>23</v>
      </c>
      <c r="E25" s="3">
        <v>8</v>
      </c>
      <c r="F25" s="3">
        <v>30</v>
      </c>
      <c r="G25" s="3">
        <v>23</v>
      </c>
      <c r="H25">
        <f>SUM(C25:G25)</f>
        <v>99</v>
      </c>
    </row>
    <row r="26" spans="2:9" x14ac:dyDescent="0.35">
      <c r="B26" s="2" t="s">
        <v>6</v>
      </c>
      <c r="C26" s="5">
        <f>(C25/H25)</f>
        <v>0.15151515151515152</v>
      </c>
      <c r="D26" s="5">
        <f>(D25/H25)</f>
        <v>0.23232323232323232</v>
      </c>
      <c r="E26" s="5">
        <f>E25/H25</f>
        <v>8.0808080808080815E-2</v>
      </c>
      <c r="F26" s="5">
        <f>(F25/H25)</f>
        <v>0.30303030303030304</v>
      </c>
      <c r="G26" s="5">
        <f>(G25/H25)</f>
        <v>0.23232323232323232</v>
      </c>
      <c r="H26" s="6">
        <f>SUM(C26:G26)</f>
        <v>1</v>
      </c>
    </row>
    <row r="28" spans="2:9" x14ac:dyDescent="0.35">
      <c r="B28" s="1" t="s">
        <v>10</v>
      </c>
      <c r="C28" s="8">
        <f>(C18+C22+C26)/3</f>
        <v>0.13309811573543059</v>
      </c>
      <c r="D28" s="8">
        <f>(D18+D22+D26)/3</f>
        <v>0.26676031290520874</v>
      </c>
      <c r="E28" s="8">
        <f>(E18+E22+E26)/3</f>
        <v>8.0090456109901564E-2</v>
      </c>
      <c r="F28" s="8">
        <f>(F18+F22+F26)/3</f>
        <v>0.31229003762917412</v>
      </c>
      <c r="G28" s="8">
        <f>(G18+G22+G26)/3</f>
        <v>0.20776107762028503</v>
      </c>
      <c r="H28" s="9">
        <f>SUM(C28:G28)</f>
        <v>1</v>
      </c>
    </row>
    <row r="31" spans="2:9" x14ac:dyDescent="0.35">
      <c r="B31" s="30" t="s">
        <v>12</v>
      </c>
      <c r="C31" s="30"/>
      <c r="D31" s="30"/>
      <c r="E31" s="30"/>
      <c r="F31" s="30"/>
      <c r="G31" s="30"/>
      <c r="H31" s="30"/>
      <c r="I31">
        <v>1.18</v>
      </c>
    </row>
    <row r="32" spans="2:9" x14ac:dyDescent="0.35">
      <c r="C32" s="1" t="s">
        <v>0</v>
      </c>
      <c r="D32" s="1" t="s">
        <v>1</v>
      </c>
      <c r="E32" s="1" t="s">
        <v>2</v>
      </c>
      <c r="F32" s="1" t="s">
        <v>16</v>
      </c>
      <c r="G32" s="1" t="s">
        <v>3</v>
      </c>
      <c r="H32" s="1" t="s">
        <v>9</v>
      </c>
    </row>
    <row r="34" spans="2:8" x14ac:dyDescent="0.35">
      <c r="B34" s="1" t="s">
        <v>10</v>
      </c>
      <c r="C34" s="8">
        <f>(C28*I31)</f>
        <v>0.15705577656780809</v>
      </c>
      <c r="D34" s="8">
        <f>(D28)</f>
        <v>0.26676031290520874</v>
      </c>
      <c r="E34" s="8">
        <f>(E28*I31)</f>
        <v>9.4506738209683847E-2</v>
      </c>
      <c r="F34" s="8">
        <f>(F28*I31)</f>
        <v>0.36850224440242546</v>
      </c>
      <c r="G34" s="8">
        <f>(G28*I31)</f>
        <v>0.24515807159193634</v>
      </c>
      <c r="H34" s="9">
        <f>SUM(C34:G34)</f>
        <v>1.1319831436770624</v>
      </c>
    </row>
    <row r="36" spans="2:8" x14ac:dyDescent="0.35">
      <c r="B36" s="4"/>
      <c r="C36" s="3"/>
      <c r="D36" s="3"/>
      <c r="E36" s="3"/>
      <c r="F36" s="3"/>
      <c r="G36" s="3"/>
    </row>
    <row r="37" spans="2:8" x14ac:dyDescent="0.35">
      <c r="B37" s="2"/>
      <c r="C37" s="3"/>
      <c r="D37" s="3"/>
      <c r="E37" s="3"/>
      <c r="F37" s="3"/>
      <c r="G37" s="3"/>
    </row>
    <row r="38" spans="2:8" x14ac:dyDescent="0.35">
      <c r="B38" s="2"/>
      <c r="C38" s="5"/>
      <c r="D38" s="5"/>
      <c r="E38" s="5"/>
      <c r="F38" s="5"/>
      <c r="G38" s="5"/>
      <c r="H38" s="6"/>
    </row>
    <row r="39" spans="2:8" x14ac:dyDescent="0.35">
      <c r="C39" s="3"/>
      <c r="D39" s="3"/>
      <c r="E39" s="3"/>
      <c r="F39" s="3"/>
      <c r="G39" s="3"/>
    </row>
    <row r="40" spans="2:8" x14ac:dyDescent="0.35">
      <c r="B40" s="4"/>
      <c r="C40" s="3"/>
      <c r="D40" s="3"/>
      <c r="E40" s="3"/>
      <c r="F40" s="3"/>
      <c r="G40" s="3"/>
    </row>
    <row r="41" spans="2:8" x14ac:dyDescent="0.35">
      <c r="B41" s="2"/>
      <c r="C41" s="3"/>
      <c r="D41" s="3"/>
      <c r="E41" s="3"/>
      <c r="F41" s="3"/>
      <c r="G41" s="3"/>
    </row>
    <row r="42" spans="2:8" x14ac:dyDescent="0.35">
      <c r="B42" s="2"/>
      <c r="C42" s="5"/>
      <c r="D42" s="5"/>
      <c r="E42" s="5"/>
      <c r="F42" s="5"/>
      <c r="G42" s="5"/>
      <c r="H42" s="6"/>
    </row>
    <row r="43" spans="2:8" x14ac:dyDescent="0.35">
      <c r="C43" s="3"/>
      <c r="D43" s="3"/>
      <c r="E43" s="3"/>
      <c r="F43" s="3"/>
      <c r="G43" s="3"/>
    </row>
    <row r="44" spans="2:8" x14ac:dyDescent="0.35">
      <c r="B44" s="4"/>
      <c r="C44" s="3"/>
      <c r="D44" s="3"/>
      <c r="E44" s="3"/>
      <c r="F44" s="3"/>
      <c r="G44" s="3"/>
    </row>
    <row r="45" spans="2:8" x14ac:dyDescent="0.35">
      <c r="B45" s="2"/>
      <c r="C45" s="3"/>
      <c r="D45" s="3"/>
      <c r="E45" s="3"/>
      <c r="F45" s="3"/>
      <c r="G45" s="3"/>
    </row>
    <row r="46" spans="2:8" x14ac:dyDescent="0.35">
      <c r="B46" s="2"/>
      <c r="C46" s="5"/>
      <c r="D46" s="5"/>
      <c r="E46" s="5"/>
      <c r="F46" s="5"/>
      <c r="G46" s="5"/>
      <c r="H46" s="6"/>
    </row>
    <row r="48" spans="2:8" x14ac:dyDescent="0.35">
      <c r="B48" s="1"/>
      <c r="C48" s="8"/>
      <c r="D48" s="8"/>
      <c r="E48" s="8"/>
      <c r="F48" s="8"/>
      <c r="G48" s="8"/>
      <c r="H48" s="9"/>
    </row>
  </sheetData>
  <mergeCells count="12">
    <mergeCell ref="B13:H13"/>
    <mergeCell ref="B31:H31"/>
    <mergeCell ref="J4:K4"/>
    <mergeCell ref="L4:M4"/>
    <mergeCell ref="J5:K5"/>
    <mergeCell ref="L5:M5"/>
    <mergeCell ref="L13:M13"/>
    <mergeCell ref="J13:K13"/>
    <mergeCell ref="J11:K11"/>
    <mergeCell ref="L11:M11"/>
    <mergeCell ref="J6:K6"/>
    <mergeCell ref="L6:M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A5A2-3634-4222-AF26-CF959410656C}">
  <dimension ref="A4:Q45"/>
  <sheetViews>
    <sheetView topLeftCell="B3" workbookViewId="0">
      <selection activeCell="C5" sqref="C5"/>
    </sheetView>
  </sheetViews>
  <sheetFormatPr defaultRowHeight="14.5" x14ac:dyDescent="0.35"/>
  <cols>
    <col min="1" max="1" width="18.90625" customWidth="1"/>
    <col min="2" max="2" width="22.1796875" bestFit="1" customWidth="1"/>
    <col min="3" max="3" width="14.6328125" style="7" customWidth="1"/>
    <col min="4" max="16" width="13.81640625" customWidth="1"/>
    <col min="17" max="17" width="12.453125" style="7" hidden="1" customWidth="1"/>
  </cols>
  <sheetData>
    <row r="4" spans="1:17" s="27" customFormat="1" x14ac:dyDescent="0.35">
      <c r="C4" s="28"/>
      <c r="D4" s="29" t="s">
        <v>42</v>
      </c>
      <c r="E4" s="29" t="s">
        <v>41</v>
      </c>
      <c r="F4" s="29" t="s">
        <v>43</v>
      </c>
      <c r="G4" s="29" t="s">
        <v>45</v>
      </c>
      <c r="H4" s="29" t="s">
        <v>46</v>
      </c>
      <c r="I4" s="29" t="s">
        <v>47</v>
      </c>
      <c r="J4" s="29" t="s">
        <v>48</v>
      </c>
      <c r="K4" s="29" t="s">
        <v>49</v>
      </c>
      <c r="L4" s="29" t="s">
        <v>50</v>
      </c>
      <c r="M4" s="29" t="s">
        <v>51</v>
      </c>
      <c r="N4" s="29" t="s">
        <v>52</v>
      </c>
      <c r="O4" s="29" t="s">
        <v>53</v>
      </c>
      <c r="P4" s="29" t="s">
        <v>44</v>
      </c>
      <c r="Q4" s="18" t="s">
        <v>34</v>
      </c>
    </row>
    <row r="5" spans="1:17" s="19" customFormat="1" ht="40.75" customHeight="1" x14ac:dyDescent="0.35">
      <c r="C5" s="22" t="s">
        <v>40</v>
      </c>
      <c r="D5" s="20" t="s">
        <v>36</v>
      </c>
      <c r="E5" s="21"/>
      <c r="F5" s="21"/>
      <c r="G5" s="21" t="s">
        <v>31</v>
      </c>
      <c r="H5" s="21" t="s">
        <v>35</v>
      </c>
      <c r="I5" s="21"/>
      <c r="J5" s="21"/>
      <c r="K5" s="21"/>
      <c r="L5" s="21" t="s">
        <v>37</v>
      </c>
      <c r="M5" s="21"/>
      <c r="N5" s="21" t="s">
        <v>38</v>
      </c>
      <c r="O5" s="21" t="s">
        <v>32</v>
      </c>
      <c r="P5" s="23" t="s">
        <v>39</v>
      </c>
      <c r="Q5" s="22"/>
    </row>
    <row r="7" spans="1:17" x14ac:dyDescent="0.35">
      <c r="A7" s="46" t="s">
        <v>0</v>
      </c>
      <c r="B7" s="12" t="s">
        <v>13</v>
      </c>
      <c r="C7" s="7">
        <f>'Cost Share Model'!$C$4</f>
        <v>38659.113029521293</v>
      </c>
      <c r="D7" s="7">
        <f>0.3*C7</f>
        <v>11597.733908856388</v>
      </c>
      <c r="E7" s="7"/>
      <c r="F7" s="7"/>
      <c r="G7" s="7"/>
      <c r="H7" s="7">
        <f>0.2*C7</f>
        <v>7731.822605904259</v>
      </c>
      <c r="I7" s="7"/>
      <c r="J7" s="7"/>
      <c r="K7" s="7"/>
      <c r="L7" s="7">
        <f>0.15*C7</f>
        <v>5798.8669544281938</v>
      </c>
      <c r="M7" s="7"/>
      <c r="N7" s="7">
        <f>0.1*C7</f>
        <v>3865.9113029521295</v>
      </c>
      <c r="O7" s="7">
        <f>0.1*C7</f>
        <v>3865.9113029521295</v>
      </c>
      <c r="P7" s="7">
        <f>0.15*C7</f>
        <v>5798.8669544281938</v>
      </c>
      <c r="Q7" s="24">
        <f>SUM(D7:P7)</f>
        <v>38659.113029521293</v>
      </c>
    </row>
    <row r="8" spans="1:17" x14ac:dyDescent="0.35">
      <c r="A8" s="46"/>
      <c r="B8" s="12" t="s">
        <v>22</v>
      </c>
      <c r="C8" s="7">
        <f>'Cost Share Model'!$C$6</f>
        <v>53868.256116785953</v>
      </c>
      <c r="D8" s="7"/>
      <c r="E8" s="7"/>
      <c r="F8" s="7"/>
      <c r="G8" s="7">
        <f>C8</f>
        <v>53868.256116785953</v>
      </c>
      <c r="H8" s="7"/>
      <c r="I8" s="7"/>
      <c r="J8" s="7"/>
      <c r="K8" s="7"/>
      <c r="L8" s="7"/>
      <c r="M8" s="7"/>
      <c r="N8" s="7"/>
      <c r="O8" s="7"/>
      <c r="P8" s="7"/>
      <c r="Q8" s="24">
        <f>SUM(D8:O8)</f>
        <v>53868.256116785953</v>
      </c>
    </row>
    <row r="9" spans="1:17" x14ac:dyDescent="0.35">
      <c r="A9" s="46"/>
      <c r="B9" s="13" t="s">
        <v>19</v>
      </c>
      <c r="C9" s="7">
        <f>'Cost Share Model'!$C$11</f>
        <v>25246.2</v>
      </c>
      <c r="D9" s="7">
        <v>1942.01</v>
      </c>
      <c r="E9" s="7">
        <v>1942.01</v>
      </c>
      <c r="F9" s="7">
        <v>1942.01</v>
      </c>
      <c r="G9" s="7">
        <v>1942.01</v>
      </c>
      <c r="H9" s="7">
        <v>1942.01</v>
      </c>
      <c r="I9" s="7">
        <v>1942.01</v>
      </c>
      <c r="J9" s="7">
        <v>1942.01</v>
      </c>
      <c r="K9" s="7">
        <v>1942.01</v>
      </c>
      <c r="L9" s="7">
        <v>1942.01</v>
      </c>
      <c r="M9" s="7">
        <v>1942.01</v>
      </c>
      <c r="N9" s="7">
        <v>1942.01</v>
      </c>
      <c r="O9" s="7">
        <v>1942.01</v>
      </c>
      <c r="P9" s="7">
        <v>1942.01</v>
      </c>
      <c r="Q9" s="24">
        <f>SUM(D9:P9)</f>
        <v>25246.129999999994</v>
      </c>
    </row>
    <row r="10" spans="1:17" x14ac:dyDescent="0.35">
      <c r="A10" s="46"/>
      <c r="B10" s="15" t="s">
        <v>33</v>
      </c>
      <c r="C10" s="17">
        <f>SUM(C7:C9)</f>
        <v>117773.56914630724</v>
      </c>
      <c r="D10" s="17">
        <f t="shared" ref="D10:P10" si="0">SUM(D7:D9)</f>
        <v>13539.743908856388</v>
      </c>
      <c r="E10" s="17">
        <f t="shared" si="0"/>
        <v>1942.01</v>
      </c>
      <c r="F10" s="17">
        <f t="shared" si="0"/>
        <v>1942.01</v>
      </c>
      <c r="G10" s="17">
        <f t="shared" si="0"/>
        <v>55810.266116785955</v>
      </c>
      <c r="H10" s="17">
        <f t="shared" si="0"/>
        <v>9673.8326059042593</v>
      </c>
      <c r="I10" s="17">
        <f t="shared" si="0"/>
        <v>1942.01</v>
      </c>
      <c r="J10" s="17">
        <f t="shared" si="0"/>
        <v>1942.01</v>
      </c>
      <c r="K10" s="17">
        <f t="shared" si="0"/>
        <v>1942.01</v>
      </c>
      <c r="L10" s="17">
        <f t="shared" si="0"/>
        <v>7740.876954428194</v>
      </c>
      <c r="M10" s="17">
        <f t="shared" si="0"/>
        <v>1942.01</v>
      </c>
      <c r="N10" s="17">
        <f t="shared" si="0"/>
        <v>5807.9213029521297</v>
      </c>
      <c r="O10" s="17">
        <f t="shared" si="0"/>
        <v>5807.9213029521297</v>
      </c>
      <c r="P10" s="17">
        <f t="shared" si="0"/>
        <v>7740.876954428194</v>
      </c>
      <c r="Q10" s="24"/>
    </row>
    <row r="11" spans="1:17" x14ac:dyDescent="0.35">
      <c r="A11" s="25"/>
    </row>
    <row r="12" spans="1:17" x14ac:dyDescent="0.35">
      <c r="A12" s="46" t="s">
        <v>1</v>
      </c>
      <c r="B12" s="12" t="s">
        <v>13</v>
      </c>
      <c r="C12" s="7">
        <f>'Cost Share Model'!$D$4</f>
        <v>77482.066755117077</v>
      </c>
      <c r="D12" s="7">
        <f>0.3*C12</f>
        <v>23244.620026535122</v>
      </c>
      <c r="H12" s="7">
        <f>0.2*C12</f>
        <v>15496.413351023417</v>
      </c>
      <c r="L12" s="7">
        <f>0.15*C12</f>
        <v>11622.310013267561</v>
      </c>
      <c r="N12" s="7">
        <f>0.1*C12</f>
        <v>7748.2066755117085</v>
      </c>
      <c r="O12" s="7">
        <f>0.1*C12</f>
        <v>7748.2066755117085</v>
      </c>
      <c r="P12" s="7">
        <f>0.15*C12</f>
        <v>11622.310013267561</v>
      </c>
      <c r="Q12" s="7">
        <f>SUM(D12:P12)</f>
        <v>77482.066755117077</v>
      </c>
    </row>
    <row r="13" spans="1:17" x14ac:dyDescent="0.35">
      <c r="A13" s="46"/>
      <c r="B13" s="12" t="s">
        <v>22</v>
      </c>
      <c r="C13" s="7">
        <f>'Cost Share Model'!$D$6</f>
        <v>91495.602208350509</v>
      </c>
      <c r="G13" s="7">
        <f>C13</f>
        <v>91495.602208350509</v>
      </c>
      <c r="O13" s="7"/>
      <c r="Q13" s="7">
        <f>SUM(D13:P13)</f>
        <v>91495.602208350509</v>
      </c>
    </row>
    <row r="14" spans="1:17" x14ac:dyDescent="0.35">
      <c r="A14" s="46"/>
      <c r="B14" s="13" t="s">
        <v>19</v>
      </c>
      <c r="C14" s="7">
        <f>'Cost Share Model'!$D$11</f>
        <v>25246.2</v>
      </c>
      <c r="D14" s="7">
        <v>1942.01</v>
      </c>
      <c r="E14" s="7">
        <v>1942.01</v>
      </c>
      <c r="F14" s="7">
        <v>1942.01</v>
      </c>
      <c r="G14" s="7">
        <v>1942.01</v>
      </c>
      <c r="H14" s="7">
        <v>1942.01</v>
      </c>
      <c r="I14" s="7">
        <v>1942.01</v>
      </c>
      <c r="J14" s="7">
        <v>1942.01</v>
      </c>
      <c r="K14" s="7">
        <v>1942.01</v>
      </c>
      <c r="L14" s="7">
        <v>1942.01</v>
      </c>
      <c r="M14" s="7">
        <v>1942.01</v>
      </c>
      <c r="N14" s="7">
        <v>1942.01</v>
      </c>
      <c r="O14" s="7">
        <v>1942.01</v>
      </c>
      <c r="P14" s="7">
        <v>1942.01</v>
      </c>
      <c r="Q14" s="7">
        <f>SUM(D14:P14)</f>
        <v>25246.129999999994</v>
      </c>
    </row>
    <row r="15" spans="1:17" x14ac:dyDescent="0.35">
      <c r="A15" s="46"/>
      <c r="B15" s="15" t="s">
        <v>33</v>
      </c>
      <c r="C15" s="17">
        <f>SUM(C12:C14)</f>
        <v>194223.8689634676</v>
      </c>
      <c r="D15" s="17">
        <f t="shared" ref="D15:P15" si="1">SUM(D12:D14)</f>
        <v>25186.63002653512</v>
      </c>
      <c r="E15" s="17">
        <f t="shared" si="1"/>
        <v>1942.01</v>
      </c>
      <c r="F15" s="17">
        <f t="shared" si="1"/>
        <v>1942.01</v>
      </c>
      <c r="G15" s="17">
        <f t="shared" si="1"/>
        <v>93437.612208350503</v>
      </c>
      <c r="H15" s="17">
        <f t="shared" si="1"/>
        <v>17438.423351023415</v>
      </c>
      <c r="I15" s="17">
        <f t="shared" si="1"/>
        <v>1942.01</v>
      </c>
      <c r="J15" s="17">
        <f t="shared" si="1"/>
        <v>1942.01</v>
      </c>
      <c r="K15" s="17">
        <f t="shared" si="1"/>
        <v>1942.01</v>
      </c>
      <c r="L15" s="17">
        <f t="shared" si="1"/>
        <v>13564.320013267561</v>
      </c>
      <c r="M15" s="17">
        <f t="shared" si="1"/>
        <v>1942.01</v>
      </c>
      <c r="N15" s="17">
        <f t="shared" si="1"/>
        <v>9690.2166755117087</v>
      </c>
      <c r="O15" s="17">
        <f t="shared" si="1"/>
        <v>9690.2166755117087</v>
      </c>
      <c r="P15" s="17">
        <f t="shared" si="1"/>
        <v>13564.320013267561</v>
      </c>
    </row>
    <row r="16" spans="1:17" x14ac:dyDescent="0.35">
      <c r="A16" s="25"/>
    </row>
    <row r="17" spans="1:17" x14ac:dyDescent="0.35">
      <c r="A17" s="46" t="s">
        <v>2</v>
      </c>
      <c r="B17" s="12" t="s">
        <v>13</v>
      </c>
      <c r="C17" s="7">
        <f>'Cost Share Model'!$E$4</f>
        <v>23262.733497243542</v>
      </c>
      <c r="D17" s="7">
        <f>0.3*C17</f>
        <v>6978.8200491730622</v>
      </c>
      <c r="H17" s="7">
        <f>0.2*C17</f>
        <v>4652.5466994487088</v>
      </c>
      <c r="L17" s="7">
        <f>0.15*C17</f>
        <v>3489.4100245865311</v>
      </c>
      <c r="N17" s="7">
        <f>0.1*C17</f>
        <v>2326.2733497243544</v>
      </c>
      <c r="O17" s="7">
        <f>0.1*C17</f>
        <v>2326.2733497243544</v>
      </c>
      <c r="P17" s="7">
        <f>0.15*C17</f>
        <v>3489.4100245865311</v>
      </c>
      <c r="Q17" s="7">
        <f>SUM(D17:P17)</f>
        <v>23262.733497243538</v>
      </c>
    </row>
    <row r="18" spans="1:17" x14ac:dyDescent="0.35">
      <c r="A18" s="46"/>
      <c r="B18" s="12" t="s">
        <v>22</v>
      </c>
      <c r="C18" s="7">
        <f>'Cost Share Model'!$E$6</f>
        <v>32414.682795467335</v>
      </c>
      <c r="G18" s="7">
        <f>C18</f>
        <v>32414.682795467335</v>
      </c>
      <c r="O18" s="7"/>
      <c r="Q18" s="7">
        <f>SUM(D18:P18)</f>
        <v>32414.682795467335</v>
      </c>
    </row>
    <row r="19" spans="1:17" x14ac:dyDescent="0.35">
      <c r="A19" s="46"/>
      <c r="B19" s="13" t="s">
        <v>19</v>
      </c>
      <c r="C19" s="7">
        <f>'Cost Share Model'!$E$11</f>
        <v>25246.2</v>
      </c>
      <c r="D19" s="7">
        <v>1942.01</v>
      </c>
      <c r="E19" s="7">
        <v>1942.01</v>
      </c>
      <c r="F19" s="7">
        <v>1942.01</v>
      </c>
      <c r="G19" s="7">
        <v>1942.01</v>
      </c>
      <c r="H19" s="7">
        <v>1942.01</v>
      </c>
      <c r="I19" s="7">
        <v>1942.01</v>
      </c>
      <c r="J19" s="7">
        <v>1942.01</v>
      </c>
      <c r="K19" s="7">
        <v>1942.01</v>
      </c>
      <c r="L19" s="7">
        <v>1942.01</v>
      </c>
      <c r="M19" s="7">
        <v>1942.01</v>
      </c>
      <c r="N19" s="7">
        <v>1942.01</v>
      </c>
      <c r="O19" s="7">
        <v>1942.01</v>
      </c>
      <c r="P19" s="7">
        <v>1942.01</v>
      </c>
      <c r="Q19" s="7">
        <f>SUM(D19:P19)</f>
        <v>25246.129999999994</v>
      </c>
    </row>
    <row r="20" spans="1:17" x14ac:dyDescent="0.35">
      <c r="A20" s="46"/>
      <c r="B20" s="15" t="s">
        <v>33</v>
      </c>
      <c r="C20" s="17">
        <f>SUM(C17:C19)</f>
        <v>80923.616292710882</v>
      </c>
      <c r="D20" s="17">
        <f t="shared" ref="D20:P20" si="2">SUM(D17:D19)</f>
        <v>8920.8300491730624</v>
      </c>
      <c r="E20" s="17">
        <f t="shared" si="2"/>
        <v>1942.01</v>
      </c>
      <c r="F20" s="17">
        <f t="shared" si="2"/>
        <v>1942.01</v>
      </c>
      <c r="G20" s="17">
        <f t="shared" si="2"/>
        <v>34356.692795467337</v>
      </c>
      <c r="H20" s="17">
        <f t="shared" si="2"/>
        <v>6594.556699448709</v>
      </c>
      <c r="I20" s="17">
        <f t="shared" si="2"/>
        <v>1942.01</v>
      </c>
      <c r="J20" s="17">
        <f t="shared" si="2"/>
        <v>1942.01</v>
      </c>
      <c r="K20" s="17">
        <f t="shared" si="2"/>
        <v>1942.01</v>
      </c>
      <c r="L20" s="17">
        <f t="shared" si="2"/>
        <v>5431.4200245865313</v>
      </c>
      <c r="M20" s="17">
        <f t="shared" si="2"/>
        <v>1942.01</v>
      </c>
      <c r="N20" s="17">
        <f t="shared" si="2"/>
        <v>4268.2833497243546</v>
      </c>
      <c r="O20" s="17">
        <f t="shared" si="2"/>
        <v>4268.2833497243546</v>
      </c>
      <c r="P20" s="17">
        <f t="shared" si="2"/>
        <v>5431.4200245865313</v>
      </c>
    </row>
    <row r="21" spans="1:17" x14ac:dyDescent="0.35">
      <c r="A21" s="25"/>
    </row>
    <row r="22" spans="1:17" x14ac:dyDescent="0.35">
      <c r="A22" s="46" t="s">
        <v>16</v>
      </c>
      <c r="B22" s="12" t="s">
        <v>13</v>
      </c>
      <c r="C22" s="7">
        <f>'Cost Share Model'!$F$4</f>
        <v>90706.437097109985</v>
      </c>
      <c r="D22" s="7">
        <f>0.3*C22</f>
        <v>27211.931129132994</v>
      </c>
      <c r="H22" s="7">
        <f>0.2*C22</f>
        <v>18141.287419421998</v>
      </c>
      <c r="L22" s="7">
        <f>0.15*C22</f>
        <v>13605.965564566497</v>
      </c>
      <c r="N22" s="7">
        <f>0.1*C22</f>
        <v>9070.6437097109992</v>
      </c>
      <c r="O22" s="7">
        <f>0.1*C22</f>
        <v>9070.6437097109992</v>
      </c>
      <c r="P22" s="7">
        <f>0.15*C22</f>
        <v>13605.965564566497</v>
      </c>
      <c r="Q22" s="7">
        <f>SUM(D22:P22)</f>
        <v>90706.43709711</v>
      </c>
    </row>
    <row r="23" spans="1:17" x14ac:dyDescent="0.35">
      <c r="A23" s="46"/>
      <c r="B23" s="12" t="s">
        <v>22</v>
      </c>
      <c r="C23" s="7">
        <f>'Cost Share Model'!$F$6</f>
        <v>126391.86991323376</v>
      </c>
      <c r="G23" s="7">
        <f>C23</f>
        <v>126391.86991323376</v>
      </c>
      <c r="O23" s="7"/>
      <c r="Q23" s="7">
        <f>SUM(D23:P23)</f>
        <v>126391.86991323376</v>
      </c>
    </row>
    <row r="24" spans="1:17" x14ac:dyDescent="0.35">
      <c r="A24" s="46"/>
      <c r="B24" s="13" t="s">
        <v>19</v>
      </c>
      <c r="C24" s="7">
        <f>'Cost Share Model'!$F$11</f>
        <v>25246.2</v>
      </c>
      <c r="D24" s="7">
        <v>1942.01</v>
      </c>
      <c r="E24" s="7">
        <v>1942.01</v>
      </c>
      <c r="F24" s="7">
        <v>1942.01</v>
      </c>
      <c r="G24" s="7">
        <v>1942.01</v>
      </c>
      <c r="H24" s="7">
        <v>1942.01</v>
      </c>
      <c r="I24" s="7">
        <v>1942.01</v>
      </c>
      <c r="J24" s="7">
        <v>1942.01</v>
      </c>
      <c r="K24" s="7">
        <v>1942.01</v>
      </c>
      <c r="L24" s="7">
        <v>1942.01</v>
      </c>
      <c r="M24" s="7">
        <v>1942.01</v>
      </c>
      <c r="N24" s="7">
        <v>1942.01</v>
      </c>
      <c r="O24" s="7">
        <v>1942.01</v>
      </c>
      <c r="P24" s="7">
        <v>1942.01</v>
      </c>
      <c r="Q24" s="7">
        <f>SUM(D24:P24)</f>
        <v>25246.129999999994</v>
      </c>
    </row>
    <row r="25" spans="1:17" x14ac:dyDescent="0.35">
      <c r="A25" s="46"/>
      <c r="B25" s="15" t="s">
        <v>33</v>
      </c>
      <c r="C25" s="17">
        <f>SUM(C22:C24)</f>
        <v>242344.50701034378</v>
      </c>
      <c r="D25" s="17">
        <f t="shared" ref="D25:P25" si="3">SUM(D22:D24)</f>
        <v>29153.941129132993</v>
      </c>
      <c r="E25" s="17">
        <f t="shared" si="3"/>
        <v>1942.01</v>
      </c>
      <c r="F25" s="17">
        <f t="shared" si="3"/>
        <v>1942.01</v>
      </c>
      <c r="G25" s="17">
        <f t="shared" si="3"/>
        <v>128333.87991323376</v>
      </c>
      <c r="H25" s="17">
        <f t="shared" si="3"/>
        <v>20083.297419421997</v>
      </c>
      <c r="I25" s="17">
        <f t="shared" si="3"/>
        <v>1942.01</v>
      </c>
      <c r="J25" s="17">
        <f t="shared" si="3"/>
        <v>1942.01</v>
      </c>
      <c r="K25" s="17">
        <f t="shared" si="3"/>
        <v>1942.01</v>
      </c>
      <c r="L25" s="17">
        <f t="shared" si="3"/>
        <v>15547.975564566497</v>
      </c>
      <c r="M25" s="17">
        <f t="shared" si="3"/>
        <v>1942.01</v>
      </c>
      <c r="N25" s="17">
        <f t="shared" si="3"/>
        <v>11012.653709710999</v>
      </c>
      <c r="O25" s="17">
        <f t="shared" si="3"/>
        <v>11012.653709710999</v>
      </c>
      <c r="P25" s="17">
        <f t="shared" si="3"/>
        <v>15547.975564566497</v>
      </c>
    </row>
    <row r="26" spans="1:17" x14ac:dyDescent="0.35">
      <c r="A26" s="25"/>
    </row>
    <row r="27" spans="1:17" x14ac:dyDescent="0.35">
      <c r="A27" s="46" t="s">
        <v>3</v>
      </c>
      <c r="B27" s="12" t="s">
        <v>13</v>
      </c>
      <c r="C27" s="7">
        <f>'Cost Share Model'!$G$4</f>
        <v>60345.399621008102</v>
      </c>
      <c r="D27" s="7">
        <f>0.3*C27</f>
        <v>18103.619886302429</v>
      </c>
      <c r="H27" s="7">
        <f>0.2*C27</f>
        <v>12069.079924201622</v>
      </c>
      <c r="L27" s="7">
        <f>0.15*C27</f>
        <v>9051.8099431512146</v>
      </c>
      <c r="N27" s="7">
        <f>0.1*C27</f>
        <v>6034.539962100811</v>
      </c>
      <c r="O27" s="7">
        <f>0.1*C27</f>
        <v>6034.539962100811</v>
      </c>
      <c r="P27" s="7">
        <f>0.15*C27</f>
        <v>9051.8099431512146</v>
      </c>
      <c r="Q27" s="7">
        <f>SUM(D27:P27)</f>
        <v>60345.399621008102</v>
      </c>
    </row>
    <row r="28" spans="1:17" x14ac:dyDescent="0.35">
      <c r="A28" s="46"/>
      <c r="B28" s="12" t="s">
        <v>22</v>
      </c>
      <c r="C28" s="7">
        <f>'Cost Share Model'!$G$6</f>
        <v>84086.291368659353</v>
      </c>
      <c r="G28" s="7">
        <f>C28</f>
        <v>84086.291368659353</v>
      </c>
      <c r="K28" s="7"/>
      <c r="O28" s="7"/>
      <c r="Q28" s="7">
        <f>SUM(D28:P28)</f>
        <v>84086.291368659353</v>
      </c>
    </row>
    <row r="29" spans="1:17" x14ac:dyDescent="0.35">
      <c r="A29" s="46"/>
      <c r="B29" s="13" t="s">
        <v>19</v>
      </c>
      <c r="C29" s="7">
        <f>'Cost Share Model'!$G$11</f>
        <v>25246.2</v>
      </c>
      <c r="D29" s="7">
        <v>1942.01</v>
      </c>
      <c r="E29" s="7">
        <v>1942.01</v>
      </c>
      <c r="F29" s="7">
        <v>1942.01</v>
      </c>
      <c r="G29" s="7">
        <v>1942.01</v>
      </c>
      <c r="H29" s="7">
        <v>1942.01</v>
      </c>
      <c r="I29" s="7">
        <v>1942.01</v>
      </c>
      <c r="J29" s="7">
        <v>1942.01</v>
      </c>
      <c r="K29" s="7">
        <v>1942.01</v>
      </c>
      <c r="L29" s="7">
        <v>1942.01</v>
      </c>
      <c r="M29" s="7">
        <v>1942.01</v>
      </c>
      <c r="N29" s="7">
        <v>1942.01</v>
      </c>
      <c r="O29" s="7">
        <v>1942.01</v>
      </c>
      <c r="P29" s="7">
        <v>1942.01</v>
      </c>
      <c r="Q29" s="7">
        <f>SUM(D29:P29)</f>
        <v>25246.129999999994</v>
      </c>
    </row>
    <row r="30" spans="1:17" x14ac:dyDescent="0.35">
      <c r="A30" s="46"/>
      <c r="B30" s="15" t="s">
        <v>33</v>
      </c>
      <c r="C30" s="17">
        <f>SUM(C27:C29)</f>
        <v>169677.89098966747</v>
      </c>
      <c r="D30" s="17">
        <f t="shared" ref="D30:P30" si="4">SUM(D27:D29)</f>
        <v>20045.629886302428</v>
      </c>
      <c r="E30" s="17">
        <f t="shared" si="4"/>
        <v>1942.01</v>
      </c>
      <c r="F30" s="17">
        <f t="shared" si="4"/>
        <v>1942.01</v>
      </c>
      <c r="G30" s="17">
        <f t="shared" si="4"/>
        <v>86028.301368659348</v>
      </c>
      <c r="H30" s="17">
        <f t="shared" si="4"/>
        <v>14011.089924201622</v>
      </c>
      <c r="I30" s="17">
        <f t="shared" si="4"/>
        <v>1942.01</v>
      </c>
      <c r="J30" s="17">
        <f t="shared" si="4"/>
        <v>1942.01</v>
      </c>
      <c r="K30" s="17">
        <f t="shared" si="4"/>
        <v>1942.01</v>
      </c>
      <c r="L30" s="17">
        <f t="shared" si="4"/>
        <v>10993.819943151215</v>
      </c>
      <c r="M30" s="17">
        <f t="shared" si="4"/>
        <v>1942.01</v>
      </c>
      <c r="N30" s="17">
        <f t="shared" si="4"/>
        <v>7976.5499621008112</v>
      </c>
      <c r="O30" s="17">
        <f t="shared" si="4"/>
        <v>7976.5499621008112</v>
      </c>
      <c r="P30" s="17">
        <f t="shared" si="4"/>
        <v>10993.819943151215</v>
      </c>
    </row>
    <row r="35" spans="1:2" x14ac:dyDescent="0.35">
      <c r="B35" s="1" t="s">
        <v>23</v>
      </c>
    </row>
    <row r="36" spans="1:2" x14ac:dyDescent="0.35">
      <c r="A36" s="16">
        <v>0.3</v>
      </c>
      <c r="B36" t="s">
        <v>24</v>
      </c>
    </row>
    <row r="37" spans="1:2" x14ac:dyDescent="0.35">
      <c r="A37" s="16">
        <v>0.2</v>
      </c>
      <c r="B37" t="s">
        <v>25</v>
      </c>
    </row>
    <row r="38" spans="1:2" x14ac:dyDescent="0.35">
      <c r="A38" s="16">
        <v>0.15</v>
      </c>
      <c r="B38" t="s">
        <v>26</v>
      </c>
    </row>
    <row r="39" spans="1:2" x14ac:dyDescent="0.35">
      <c r="A39" s="16">
        <v>0.1</v>
      </c>
      <c r="B39" t="s">
        <v>27</v>
      </c>
    </row>
    <row r="40" spans="1:2" x14ac:dyDescent="0.35">
      <c r="A40" s="16">
        <v>0.1</v>
      </c>
      <c r="B40" t="s">
        <v>28</v>
      </c>
    </row>
    <row r="41" spans="1:2" x14ac:dyDescent="0.35">
      <c r="A41" s="16">
        <v>0.15</v>
      </c>
      <c r="B41" t="s">
        <v>29</v>
      </c>
    </row>
    <row r="43" spans="1:2" x14ac:dyDescent="0.35">
      <c r="B43" s="1" t="s">
        <v>30</v>
      </c>
    </row>
    <row r="44" spans="1:2" x14ac:dyDescent="0.35">
      <c r="A44" s="16">
        <v>0.5</v>
      </c>
      <c r="B44" t="s">
        <v>31</v>
      </c>
    </row>
    <row r="45" spans="1:2" x14ac:dyDescent="0.35">
      <c r="A45" s="16">
        <v>0.5</v>
      </c>
      <c r="B45" t="s">
        <v>32</v>
      </c>
    </row>
  </sheetData>
  <mergeCells count="5">
    <mergeCell ref="A7:A10"/>
    <mergeCell ref="A12:A15"/>
    <mergeCell ref="A17:A20"/>
    <mergeCell ref="A22:A25"/>
    <mergeCell ref="A27:A30"/>
  </mergeCells>
  <phoneticPr fontId="5" type="noConversion"/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00AB-B3D8-46E4-BC24-9B582E217FF5}">
  <dimension ref="A3:B13"/>
  <sheetViews>
    <sheetView workbookViewId="0">
      <selection activeCell="A13" sqref="A13"/>
    </sheetView>
  </sheetViews>
  <sheetFormatPr defaultRowHeight="14.5" x14ac:dyDescent="0.35"/>
  <cols>
    <col min="2" max="2" width="46.1796875" bestFit="1" customWidth="1"/>
  </cols>
  <sheetData>
    <row r="3" spans="1:2" x14ac:dyDescent="0.35">
      <c r="B3" s="1" t="s">
        <v>23</v>
      </c>
    </row>
    <row r="4" spans="1:2" x14ac:dyDescent="0.35">
      <c r="A4" s="16">
        <v>0.3</v>
      </c>
      <c r="B4" t="s">
        <v>24</v>
      </c>
    </row>
    <row r="5" spans="1:2" x14ac:dyDescent="0.35">
      <c r="A5" s="16">
        <v>0.2</v>
      </c>
      <c r="B5" t="s">
        <v>25</v>
      </c>
    </row>
    <row r="6" spans="1:2" x14ac:dyDescent="0.35">
      <c r="A6" s="16">
        <v>0.15</v>
      </c>
      <c r="B6" t="s">
        <v>26</v>
      </c>
    </row>
    <row r="7" spans="1:2" x14ac:dyDescent="0.35">
      <c r="A7" s="16">
        <v>0.1</v>
      </c>
      <c r="B7" t="s">
        <v>27</v>
      </c>
    </row>
    <row r="8" spans="1:2" x14ac:dyDescent="0.35">
      <c r="A8" s="16">
        <v>0.1</v>
      </c>
      <c r="B8" t="s">
        <v>28</v>
      </c>
    </row>
    <row r="9" spans="1:2" x14ac:dyDescent="0.35">
      <c r="A9" s="16">
        <v>0.15</v>
      </c>
      <c r="B9" t="s">
        <v>29</v>
      </c>
    </row>
    <row r="11" spans="1:2" x14ac:dyDescent="0.35">
      <c r="B11" s="1" t="s">
        <v>30</v>
      </c>
    </row>
    <row r="12" spans="1:2" x14ac:dyDescent="0.35">
      <c r="A12" s="16">
        <v>1</v>
      </c>
      <c r="B12" t="s">
        <v>31</v>
      </c>
    </row>
    <row r="13" spans="1:2" x14ac:dyDescent="0.35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Share Model</vt:lpstr>
      <vt:lpstr>Payment Matrix</vt:lpstr>
      <vt:lpstr>Milestone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Potteiger</dc:creator>
  <cp:lastModifiedBy>Jeremy VanMeter</cp:lastModifiedBy>
  <dcterms:created xsi:type="dcterms:W3CDTF">2024-03-21T13:47:38Z</dcterms:created>
  <dcterms:modified xsi:type="dcterms:W3CDTF">2024-05-09T15:41:06Z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2024-03-21T13:47:48Z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598da55f-a778-4602-93c1-2a392cf3800d</vt:lpwstr>
  </property>
  <property fmtid="{D5CDD505-2E9C-101B-9397-08002B2CF9AE}" pid="7" name="MSIP_Label_defa4170-0d19-0005-0004-bc88714345d2_ActionId">
    <vt:lpwstr>e42494e9-34f1-49f5-8b42-2f69aac7da6d</vt:lpwstr>
  </property>
  <property fmtid="{D5CDD505-2E9C-101B-9397-08002B2CF9AE}" pid="8" name="MSIP_Label_defa4170-0d19-0005-0004-bc88714345d2_ContentBits">
    <vt:lpwstr>0</vt:lpwstr>
  </property>
</Properties>
</file>