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Industrial Expansion ROI " sheetId="5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<sst xmlns="http://schemas.openxmlformats.org/spreadsheetml/2006/main" count="36" uniqueCount="36">
  <si>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Jobs</t>
  </si>
  <si>
    <t>Payroll</t>
  </si>
  <si>
    <t>2.5% tax on payroll</t>
  </si>
  <si>
    <t>TIF Estimate</t>
  </si>
  <si>
    <t xml:space="preserve">Current Land Value </t>
  </si>
  <si>
    <t>Requested Sale Price</t>
  </si>
  <si>
    <t>Requested Price Reduction</t>
  </si>
  <si>
    <t>Estimated Improved Value</t>
  </si>
  <si>
    <t>Real Estate Appreciation</t>
  </si>
  <si>
    <t xml:space="preserve">Years </t>
  </si>
  <si>
    <t>Future Growth</t>
  </si>
  <si>
    <t>Future Value</t>
  </si>
  <si>
    <t>Millage Rate</t>
  </si>
  <si>
    <t>Estimated Annual Tax</t>
  </si>
  <si>
    <t>Total Value of Abatement</t>
  </si>
  <si>
    <t>Total Value of City Portion of Abatement</t>
  </si>
  <si>
    <t>Project Investments</t>
  </si>
  <si>
    <t>Building</t>
  </si>
  <si>
    <t>Other Taxes</t>
  </si>
  <si>
    <t>Construction Income Tax</t>
  </si>
  <si>
    <t>Construction Sales Tax</t>
  </si>
  <si>
    <t>Other Considerations</t>
  </si>
  <si>
    <t>Total Investment  to City</t>
  </si>
  <si>
    <t>Total City Investment</t>
  </si>
  <si>
    <t>ROI Total Expansion</t>
  </si>
  <si>
    <t xml:space="preserve">School Compensation </t>
  </si>
  <si>
    <t>During Incentive Period</t>
  </si>
  <si>
    <t>Total Payroll Tax to City</t>
  </si>
  <si>
    <t>Total Payroll Tax Collected</t>
  </si>
  <si>
    <t>Abatement Percentage</t>
  </si>
  <si>
    <t>Name: Project Trade</t>
  </si>
  <si>
    <t>2029-2039</t>
  </si>
  <si>
    <t>Issue 12 1% Tax</t>
  </si>
  <si>
    <t>Net New Income Tax Implications</t>
  </si>
  <si>
    <t>Total Value of the GJSD Portion of the Abatement</t>
  </si>
  <si>
    <t>Existing Taxable Value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</si>
</sst>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30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3" fontId="0" fillId="0" borderId="0" xfId="0" applyNumberFormat="1"/>
    <xf numFmtId="43" fontId="0" fillId="0" borderId="0" xfId="18" applyFont="1" applyBorder="1"/>
    <xf numFmtId="43" fontId="0" fillId="0" borderId="6" xfId="18" applyFont="1" applyBorder="1"/>
    <xf numFmtId="0" fontId="0" fillId="0" borderId="6" xfId="0" applyBorder="1"/>
    <xf numFmtId="3" fontId="0" fillId="0" borderId="5" xfId="0" applyNumberFormat="1" applyBorder="1"/>
    <xf numFmtId="9" fontId="0" fillId="0" borderId="5" xfId="0" applyNumberFormat="1" applyBorder="1"/>
    <xf numFmtId="0" fontId="0" fillId="2" borderId="7" xfId="0" applyFill="1" applyBorder="1"/>
    <xf numFmtId="3" fontId="0" fillId="2" borderId="8" xfId="0" applyNumberFormat="1" applyFill="1" applyBorder="1"/>
    <xf numFmtId="0" fontId="2" fillId="0" borderId="1" xfId="0" applyFont="1" applyBorder="1"/>
    <xf numFmtId="0" fontId="0" fillId="0" borderId="3" xfId="0" applyBorder="1"/>
    <xf numFmtId="43" fontId="0" fillId="0" borderId="8" xfId="18" applyFont="1" applyBorder="1"/>
    <xf numFmtId="0" fontId="2" fillId="0" borderId="0" xfId="0" applyFont="1"/>
    <xf numFmtId="44" fontId="0" fillId="0" borderId="5" xfId="16" applyFont="1" applyBorder="1"/>
    <xf numFmtId="0" fontId="0" fillId="2" borderId="4" xfId="0" applyFill="1" applyBorder="1"/>
    <xf numFmtId="0" fontId="0" fillId="2" borderId="9" xfId="0" applyFill="1" applyBorder="1"/>
    <xf numFmtId="3" fontId="0" fillId="2" borderId="10" xfId="0" applyNumberFormat="1" applyFill="1" applyBorder="1"/>
    <xf numFmtId="0" fontId="0" fillId="3" borderId="9" xfId="0" applyFill="1" applyBorder="1"/>
    <xf numFmtId="3" fontId="0" fillId="3" borderId="11" xfId="0" applyNumberFormat="1" applyFill="1" applyBorder="1"/>
    <xf numFmtId="0" fontId="0" fillId="0" borderId="5" xfId="16" applyNumberFormat="1" applyFont="1" applyBorder="1" applyAlignment="1">
      <alignment horizontal="right"/>
    </xf>
    <xf numFmtId="44" fontId="0" fillId="0" borderId="0" xfId="0" applyNumberFormat="1"/>
    <xf numFmtId="164" fontId="0" fillId="0" borderId="5" xfId="16" applyNumberFormat="1" applyFont="1" applyBorder="1"/>
    <xf numFmtId="164" fontId="0" fillId="2" borderId="5" xfId="16" applyNumberFormat="1" applyFont="1" applyFill="1" applyBorder="1"/>
    <xf numFmtId="0" fontId="0" fillId="0" borderId="0" xfId="0" applyAlignment="1">
      <alignment horizontal="center"/>
    </xf>
    <xf numFmtId="43" fontId="0" fillId="0" borderId="3" xfId="18" applyFont="1" applyBorder="1"/>
    <xf numFmtId="0" fontId="2" fillId="0" borderId="5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164" fontId="0" fillId="0" borderId="0" xfId="16" applyNumberFormat="1" applyFont="1"/>
    <xf numFmtId="0" fontId="3" fillId="4" borderId="4" xfId="0" applyFont="1" applyFill="1" applyBorder="1"/>
    <xf numFmtId="3" fontId="3" fillId="4" borderId="5" xfId="0" applyNumberFormat="1" applyFont="1" applyFill="1" applyBorder="1"/>
    <xf numFmtId="0" fontId="3" fillId="5" borderId="1" xfId="0" applyFont="1" applyFill="1" applyBorder="1"/>
    <xf numFmtId="3" fontId="3" fillId="5" borderId="3" xfId="0" applyNumberFormat="1" applyFont="1" applyFill="1" applyBorder="1"/>
    <xf numFmtId="0" fontId="2" fillId="2" borderId="7" xfId="0" applyFont="1" applyFill="1" applyBorder="1"/>
    <xf numFmtId="3" fontId="2" fillId="2" borderId="8" xfId="0" applyNumberFormat="1" applyFont="1" applyFill="1" applyBorder="1"/>
    <xf numFmtId="164" fontId="0" fillId="0" borderId="6" xfId="16" applyNumberFormat="1" applyFont="1" applyBorder="1"/>
    <xf numFmtId="0" fontId="4" fillId="5" borderId="4" xfId="0" applyFont="1" applyFill="1" applyBorder="1"/>
    <xf numFmtId="0" fontId="3" fillId="5" borderId="4" xfId="0" applyFont="1" applyFill="1" applyBorder="1"/>
    <xf numFmtId="43" fontId="3" fillId="5" borderId="8" xfId="18" applyFont="1" applyFill="1" applyBorder="1"/>
    <xf numFmtId="43" fontId="3" fillId="5" borderId="5" xfId="18" applyFont="1" applyFill="1" applyBorder="1"/>
    <xf numFmtId="0" fontId="3" fillId="5" borderId="7" xfId="0" applyFont="1" applyFill="1" applyBorder="1"/>
    <xf numFmtId="164" fontId="4" fillId="5" borderId="5" xfId="16" applyNumberFormat="1" applyFont="1" applyFill="1" applyBorder="1"/>
    <xf numFmtId="44" fontId="3" fillId="4" borderId="5" xfId="16" applyFont="1" applyFill="1" applyBorder="1"/>
    <xf numFmtId="0" fontId="3" fillId="5" borderId="9" xfId="0" applyFont="1" applyFill="1" applyBorder="1" applyAlignment="1">
      <alignment wrapText="1"/>
    </xf>
    <xf numFmtId="9" fontId="3" fillId="5" borderId="10" xfId="15" applyFont="1" applyFill="1" applyBorder="1"/>
    <xf numFmtId="43" fontId="2" fillId="2" borderId="8" xfId="18" applyFont="1" applyFill="1" applyBorder="1"/>
    <xf numFmtId="9" fontId="0" fillId="0" borderId="5" xfId="16" applyNumberFormat="1" applyFont="1" applyBorder="1" applyAlignment="1">
      <alignment horizontal="right"/>
    </xf>
    <xf numFmtId="0" fontId="4" fillId="4" borderId="7" xfId="0" applyFont="1" applyFill="1" applyBorder="1"/>
    <xf numFmtId="43" fontId="4" fillId="4" borderId="8" xfId="18" applyFont="1" applyFill="1" applyBorder="1"/>
    <xf numFmtId="0" fontId="2" fillId="0" borderId="2" xfId="0" applyFont="1" applyBorder="1" applyAlignment="1">
      <alignment horizontal="right"/>
    </xf>
    <xf numFmtId="164" fontId="0" fillId="0" borderId="0" xfId="16" applyNumberFormat="1" applyFont="1" applyBorder="1"/>
    <xf numFmtId="43" fontId="0" fillId="0" borderId="5" xfId="18" applyFont="1" applyBorder="1"/>
    <xf numFmtId="0" fontId="0" fillId="0" borderId="4" xfId="0" applyFill="1" applyBorder="1"/>
    <xf numFmtId="0" fontId="0" fillId="0" borderId="7" xfId="0" applyFill="1" applyBorder="1"/>
    <xf numFmtId="44" fontId="0" fillId="0" borderId="5" xfId="16" applyFont="1" applyBorder="1" applyAlignment="1">
      <alignment horizontal="right"/>
    </xf>
    <xf numFmtId="164" fontId="0" fillId="0" borderId="0" xfId="0" applyNumberForma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  <cellStyle name="Percent 2" xfId="22"/>
    <cellStyle name="Comm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15</xdr:row>
      <xdr:rowOff>9525</xdr:rowOff>
    </xdr:from>
    <xdr:to>
      <xdr:col>7</xdr:col>
      <xdr:colOff>1590675</xdr:colOff>
      <xdr:row>20</xdr:row>
      <xdr:rowOff>0</xdr:rowOff>
    </xdr:to>
    <xdr:sp macro="" textlink="">
      <xdr:nvSpPr>
        <xdr:cNvPr id="2" name="TextBox 1"/>
        <xdr:cNvSpPr txBox="1"/>
      </xdr:nvSpPr>
      <xdr:spPr>
        <a:xfrm>
          <a:off x="4486275" y="2971800"/>
          <a:ext cx="6524625" cy="14954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342900</xdr:colOff>
      <xdr:row>15</xdr:row>
      <xdr:rowOff>142875</xdr:rowOff>
    </xdr:from>
    <xdr:to>
      <xdr:col>7</xdr:col>
      <xdr:colOff>1095375</xdr:colOff>
      <xdr:row>19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48225" y="3105150"/>
          <a:ext cx="56673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7B67D-A063-41D6-9603-38D96115F5B8}">
  <sheetPr>
    <pageSetUpPr fitToPage="1"/>
  </sheetPr>
  <dimension ref="A1:O43"/>
  <sheetViews>
    <sheetView tabSelected="1" workbookViewId="0" topLeftCell="A1">
      <selection activeCell="J16" sqref="J16"/>
    </sheetView>
  </sheetViews>
  <sheetFormatPr defaultColWidth="9.140625" defaultRowHeight="15"/>
  <cols>
    <col min="1" max="1" width="45.7109375" style="0" bestFit="1" customWidth="1"/>
    <col min="2" max="2" width="21.8515625" style="0" customWidth="1"/>
    <col min="3" max="3" width="13.00390625" style="0" customWidth="1"/>
    <col min="4" max="4" width="13.57421875" style="0" bestFit="1" customWidth="1"/>
    <col min="5" max="6" width="14.28125" style="0" bestFit="1" customWidth="1"/>
    <col min="7" max="7" width="18.57421875" style="0" customWidth="1"/>
    <col min="8" max="8" width="24.00390625" style="0" bestFit="1" customWidth="1"/>
    <col min="9" max="9" width="10.140625" style="0" bestFit="1" customWidth="1"/>
    <col min="11" max="11" width="4.28125" style="0" customWidth="1"/>
    <col min="12" max="13" width="12.57421875" style="0" bestFit="1" customWidth="1"/>
    <col min="14" max="14" width="43.8515625" style="0" customWidth="1"/>
  </cols>
  <sheetData>
    <row r="1" spans="1:2" ht="15">
      <c r="A1" t="s">
        <v>30</v>
      </c>
      <c r="B1" s="29"/>
    </row>
    <row r="2" ht="15.75" thickBot="1"/>
    <row r="3" spans="1:8" ht="15">
      <c r="A3" s="1"/>
      <c r="B3" s="2">
        <v>2024</v>
      </c>
      <c r="C3" s="2">
        <v>2025</v>
      </c>
      <c r="D3" s="2">
        <v>2026</v>
      </c>
      <c r="E3" s="2">
        <v>2027</v>
      </c>
      <c r="F3" s="2">
        <v>2028</v>
      </c>
      <c r="G3" s="56" t="s">
        <v>31</v>
      </c>
      <c r="H3" s="4" t="s">
        <v>27</v>
      </c>
    </row>
    <row r="4" spans="1:8" ht="15">
      <c r="A4" s="5"/>
      <c r="B4" s="18"/>
      <c r="C4" s="18"/>
      <c r="D4" s="18"/>
      <c r="E4" s="18"/>
      <c r="F4" s="18"/>
      <c r="G4" s="18"/>
      <c r="H4" s="31" t="s">
        <v>26</v>
      </c>
    </row>
    <row r="5" spans="1:8" ht="15">
      <c r="A5" s="5" t="s">
        <v>0</v>
      </c>
      <c r="B5">
        <v>49</v>
      </c>
      <c r="C5">
        <v>53</v>
      </c>
      <c r="D5">
        <v>59</v>
      </c>
      <c r="E5">
        <v>63</v>
      </c>
      <c r="F5">
        <v>68</v>
      </c>
      <c r="G5">
        <f>F5*10</f>
        <v>680</v>
      </c>
      <c r="H5" s="6"/>
    </row>
    <row r="6" spans="1:8" ht="15">
      <c r="A6" s="5" t="s">
        <v>1</v>
      </c>
      <c r="B6" s="35">
        <v>5689120</v>
      </c>
      <c r="C6" s="35">
        <v>6124793</v>
      </c>
      <c r="D6" s="35">
        <v>6863537</v>
      </c>
      <c r="E6" s="35">
        <v>7344443</v>
      </c>
      <c r="F6" s="35">
        <v>7904776</v>
      </c>
      <c r="G6" s="7">
        <f>F6*10</f>
        <v>79047760</v>
      </c>
      <c r="H6" s="6"/>
    </row>
    <row r="7" spans="1:8" ht="15">
      <c r="A7" s="5" t="s">
        <v>2</v>
      </c>
      <c r="B7" s="57">
        <f>B6*2.5%</f>
        <v>142228</v>
      </c>
      <c r="C7" s="57">
        <f aca="true" t="shared" si="0" ref="C7:F7">C6*2.5%</f>
        <v>153119.825</v>
      </c>
      <c r="D7" s="57">
        <f t="shared" si="0"/>
        <v>171588.42500000002</v>
      </c>
      <c r="E7" s="57">
        <f t="shared" si="0"/>
        <v>183611.075</v>
      </c>
      <c r="F7" s="57">
        <f t="shared" si="0"/>
        <v>197619.40000000002</v>
      </c>
      <c r="G7" s="8">
        <f>G6*2.5%</f>
        <v>1976194</v>
      </c>
      <c r="H7" s="46">
        <f>G7+SUM(B7:F7)</f>
        <v>2824360.725</v>
      </c>
    </row>
    <row r="8" spans="1:8" ht="15">
      <c r="A8" s="59" t="s">
        <v>32</v>
      </c>
      <c r="B8" s="57">
        <f>B6*1%</f>
        <v>56891.200000000004</v>
      </c>
      <c r="C8" s="57">
        <f aca="true" t="shared" si="1" ref="C8:G8">C6*1%</f>
        <v>61247.93</v>
      </c>
      <c r="D8" s="57">
        <f t="shared" si="1"/>
        <v>68635.37</v>
      </c>
      <c r="E8" s="57">
        <f t="shared" si="1"/>
        <v>73444.43000000001</v>
      </c>
      <c r="F8" s="57">
        <f t="shared" si="1"/>
        <v>79047.76</v>
      </c>
      <c r="G8" s="57">
        <f t="shared" si="1"/>
        <v>790477.6</v>
      </c>
      <c r="H8" s="58">
        <f>G8+SUM(B8:F8)</f>
        <v>1129744.29</v>
      </c>
    </row>
    <row r="9" spans="1:8" ht="15.75" thickBot="1">
      <c r="A9" s="60" t="s">
        <v>33</v>
      </c>
      <c r="B9" s="42"/>
      <c r="C9" s="42">
        <f>SUM(C6-B6)*2.5%</f>
        <v>10891.825</v>
      </c>
      <c r="D9" s="42">
        <f>SUM(D6-B6)*2.5%</f>
        <v>29360.425000000003</v>
      </c>
      <c r="E9" s="42">
        <f>SUM(E6-B6)*2.5%</f>
        <v>41383.075000000004</v>
      </c>
      <c r="F9" s="42">
        <f>SUM(F6-B6)*2.5%</f>
        <v>55391.4</v>
      </c>
      <c r="G9" s="9">
        <f>F9*10</f>
        <v>553914</v>
      </c>
      <c r="H9" s="17">
        <f>SUM(C9:G9)</f>
        <v>690940.725</v>
      </c>
    </row>
    <row r="10" spans="1:12" ht="15">
      <c r="A10" s="34"/>
      <c r="B10" s="57"/>
      <c r="C10" s="57"/>
      <c r="D10" s="57"/>
      <c r="E10" s="57"/>
      <c r="F10" s="57"/>
      <c r="G10" s="8"/>
      <c r="H10" s="8"/>
      <c r="L10" s="34"/>
    </row>
    <row r="11" ht="15.75" thickBot="1">
      <c r="H11" s="10"/>
    </row>
    <row r="12" spans="1:8" ht="20.25" customHeight="1" thickBot="1">
      <c r="A12" s="21" t="s">
        <v>3</v>
      </c>
      <c r="B12" s="22"/>
      <c r="G12" s="50" t="s">
        <v>24</v>
      </c>
      <c r="H12" s="51">
        <f>(B42-B43)/B43</f>
        <v>2.443880805770356</v>
      </c>
    </row>
    <row r="13" spans="1:8" ht="15.75" thickBot="1">
      <c r="A13" s="23"/>
      <c r="B13" s="24"/>
      <c r="H13" s="3"/>
    </row>
    <row r="14" spans="1:2" ht="15">
      <c r="A14" s="5" t="s">
        <v>4</v>
      </c>
      <c r="B14" s="27">
        <v>2384300</v>
      </c>
    </row>
    <row r="15" spans="1:2" ht="15">
      <c r="A15" s="43" t="s">
        <v>5</v>
      </c>
      <c r="B15" s="48"/>
    </row>
    <row r="16" spans="1:15" ht="39">
      <c r="A16" s="20" t="s">
        <v>6</v>
      </c>
      <c r="B16" s="28">
        <v>0</v>
      </c>
      <c r="L16" s="26"/>
      <c r="O16" s="32"/>
    </row>
    <row r="17" spans="1:12" ht="15">
      <c r="A17" s="5" t="s">
        <v>7</v>
      </c>
      <c r="B17" s="27">
        <f>SUM(4350000-B14)+2000000+500000</f>
        <v>4465700</v>
      </c>
      <c r="L17" s="26"/>
    </row>
    <row r="18" spans="1:8" ht="21.75" customHeight="1">
      <c r="A18" s="5" t="s">
        <v>8</v>
      </c>
      <c r="B18" s="12">
        <v>0.01</v>
      </c>
      <c r="H18" s="33"/>
    </row>
    <row r="19" spans="1:15" ht="21" customHeight="1">
      <c r="A19" s="5" t="s">
        <v>9</v>
      </c>
      <c r="B19" s="6">
        <v>15</v>
      </c>
      <c r="C19" s="5"/>
      <c r="M19" s="62"/>
      <c r="O19" s="33"/>
    </row>
    <row r="20" spans="1:13" ht="21.75" customHeight="1">
      <c r="A20" s="5" t="s">
        <v>10</v>
      </c>
      <c r="B20" s="6">
        <f>(1+0.01)^15</f>
        <v>1.1609689553699984</v>
      </c>
      <c r="M20" s="26"/>
    </row>
    <row r="21" spans="1:2" ht="21" customHeight="1">
      <c r="A21" s="36" t="s">
        <v>11</v>
      </c>
      <c r="B21" s="49">
        <f>B20*B17</f>
        <v>5184539.063995802</v>
      </c>
    </row>
    <row r="22" spans="1:2" ht="15.75" customHeight="1">
      <c r="A22" s="5" t="s">
        <v>12</v>
      </c>
      <c r="B22" s="25">
        <v>96.634066</v>
      </c>
    </row>
    <row r="23" spans="1:2" ht="15.75" customHeight="1">
      <c r="A23" s="5" t="s">
        <v>29</v>
      </c>
      <c r="B23" s="53">
        <v>1</v>
      </c>
    </row>
    <row r="24" spans="1:2" ht="15.75" customHeight="1">
      <c r="A24" s="5" t="s">
        <v>35</v>
      </c>
      <c r="B24" s="61">
        <v>80642.1</v>
      </c>
    </row>
    <row r="25" spans="1:2" ht="15">
      <c r="A25" s="5" t="s">
        <v>13</v>
      </c>
      <c r="B25" s="19">
        <f>SUM(((B21*0.35)*B22)/1000)-B24</f>
        <v>94708.98153141199</v>
      </c>
    </row>
    <row r="26" spans="1:3" ht="15">
      <c r="A26" t="s">
        <v>14</v>
      </c>
      <c r="B26" s="19">
        <f>SUM(B25)*15*B23</f>
        <v>1420634.72297118</v>
      </c>
      <c r="C26" s="5"/>
    </row>
    <row r="27" spans="1:3" ht="15">
      <c r="A27" t="s">
        <v>34</v>
      </c>
      <c r="B27" s="11">
        <f>B26*59.55%</f>
        <v>845987.9775293375</v>
      </c>
      <c r="C27" s="34"/>
    </row>
    <row r="28" spans="1:2" ht="15.75" thickBot="1">
      <c r="A28" s="13" t="s">
        <v>15</v>
      </c>
      <c r="B28" s="14">
        <f>B26*2.48%</f>
        <v>35231.741129685266</v>
      </c>
    </row>
    <row r="29" ht="15.75" thickBot="1"/>
    <row r="30" spans="1:3" ht="15">
      <c r="A30" s="15" t="s">
        <v>16</v>
      </c>
      <c r="B30" s="16"/>
      <c r="C30" s="5"/>
    </row>
    <row r="31" spans="1:2" ht="15">
      <c r="A31" s="36" t="s">
        <v>17</v>
      </c>
      <c r="B31" s="37">
        <f>B21</f>
        <v>5184539.063995802</v>
      </c>
    </row>
    <row r="32" spans="1:2" ht="15.75" thickBot="1">
      <c r="A32" s="47" t="s">
        <v>28</v>
      </c>
      <c r="B32" s="45">
        <f>H7</f>
        <v>2824360.725</v>
      </c>
    </row>
    <row r="33" ht="15.75" thickBot="1">
      <c r="B33" s="8"/>
    </row>
    <row r="34" spans="1:2" ht="15">
      <c r="A34" s="15" t="s">
        <v>18</v>
      </c>
      <c r="B34" s="30"/>
    </row>
    <row r="35" spans="1:2" ht="15">
      <c r="A35" s="44" t="s">
        <v>19</v>
      </c>
      <c r="B35" s="46">
        <f>SUM((B31/2)*2.5%)</f>
        <v>64806.73829994752</v>
      </c>
    </row>
    <row r="36" spans="1:2" ht="15.75" thickBot="1">
      <c r="A36" s="54" t="s">
        <v>20</v>
      </c>
      <c r="B36" s="55">
        <f>SUM((B31/2)*7.5%)</f>
        <v>194420.21489984257</v>
      </c>
    </row>
    <row r="37" ht="15.75" thickBot="1">
      <c r="B37" s="8"/>
    </row>
    <row r="38" spans="1:2" ht="15">
      <c r="A38" s="15" t="s">
        <v>21</v>
      </c>
      <c r="B38" s="30"/>
    </row>
    <row r="39" spans="1:2" ht="15.75" thickBot="1">
      <c r="A39" s="13" t="s">
        <v>25</v>
      </c>
      <c r="B39" s="52">
        <f>SUM(H9*50%)+(B27*50%)+B28</f>
        <v>803696.092394354</v>
      </c>
    </row>
    <row r="40" ht="15">
      <c r="B40" s="8"/>
    </row>
    <row r="41" ht="15.75" thickBot="1"/>
    <row r="42" spans="1:2" ht="15">
      <c r="A42" s="38" t="s">
        <v>22</v>
      </c>
      <c r="B42" s="39">
        <f>B15+B32+B35</f>
        <v>2889167.463299948</v>
      </c>
    </row>
    <row r="43" spans="1:2" ht="15.75" thickBot="1">
      <c r="A43" s="40" t="s">
        <v>23</v>
      </c>
      <c r="B43" s="41">
        <f>B12+B16+B28+B39</f>
        <v>838927.8335240394</v>
      </c>
    </row>
  </sheetData>
  <printOptions/>
  <pageMargins left="0.7" right="0.7" top="0.75" bottom="0.75" header="0.3" footer="0.3"/>
  <pageSetup fitToHeight="1" fitToWidth="1" horizontalDpi="600" verticalDpi="600" orientation="landscape" scale="7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680BB0F137CB4688B73F04E0A724B5" ma:contentTypeVersion="10" ma:contentTypeDescription="Create a new document." ma:contentTypeScope="" ma:versionID="5e024fecec1c87f40516baa116301c4a">
  <xsd:schema xmlns:xsd="http://www.w3.org/2001/XMLSchema" xmlns:xs="http://www.w3.org/2001/XMLSchema" xmlns:p="http://schemas.microsoft.com/office/2006/metadata/properties" xmlns:ns2="ceff387f-5e78-4ff5-ae92-649b4914785e" xmlns:ns3="b085ed63-ef39-4a1f-82a6-f98a5c0fb236" targetNamespace="http://schemas.microsoft.com/office/2006/metadata/properties" ma:root="true" ma:fieldsID="693e1637c083094a507c7109d0853156" ns2:_="" ns3:_="">
    <xsd:import namespace="ceff387f-5e78-4ff5-ae92-649b4914785e"/>
    <xsd:import namespace="b085ed63-ef39-4a1f-82a6-f98a5c0fb2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ff387f-5e78-4ff5-ae92-649b491478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5ed63-ef39-4a1f-82a6-f98a5c0fb2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B7420A-18C5-42C1-8872-6DE938465A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CA9520-FCD2-423D-9E4F-8388418A40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98D5F4-8B88-4BE5-B357-BD4F88C8F7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ff387f-5e78-4ff5-ae92-649b4914785e"/>
    <ds:schemaRef ds:uri="b085ed63-ef39-4a1f-82a6-f98a5c0fb2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Goliver</dc:creator>
  <cp:keywords/>
  <dc:description/>
  <cp:lastModifiedBy>Laurie Jadwin</cp:lastModifiedBy>
  <dcterms:created xsi:type="dcterms:W3CDTF">2021-07-26T13:54:32Z</dcterms:created>
  <dcterms:modified xsi:type="dcterms:W3CDTF">2023-06-22T20:45:32Z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0x0101001E680BB0F137CB4688B73F04E0A724B5</vt:lpwstr>
  </property>
</Properties>
</file>