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hanna.gov\profile\fd3\jeremy.vanmeter\Desktop\"/>
    </mc:Choice>
  </mc:AlternateContent>
  <xr:revisionPtr revIDLastSave="0" documentId="8_{55705B2E-8EBF-45A7-BFCB-6D28C20916E3}" xr6:coauthVersionLast="47" xr6:coauthVersionMax="47" xr10:uidLastSave="{00000000-0000-0000-0000-000000000000}"/>
  <bookViews>
    <workbookView xWindow="-108" yWindow="-108" windowWidth="23256" windowHeight="12456" xr2:uid="{2759B7D2-9452-451C-96AF-C884858DB0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P12" i="1"/>
  <c r="O10" i="1"/>
  <c r="O29" i="1" l="1"/>
  <c r="P29" i="1"/>
  <c r="Q29" i="1"/>
  <c r="O28" i="1"/>
  <c r="P28" i="1"/>
  <c r="Q28" i="1"/>
  <c r="K20" i="1" l="1"/>
  <c r="D22" i="1" l="1"/>
  <c r="E22" i="1"/>
  <c r="F22" i="1"/>
  <c r="G22" i="1"/>
  <c r="H22" i="1"/>
  <c r="I22" i="1"/>
  <c r="J22" i="1"/>
  <c r="K22" i="1"/>
  <c r="C22" i="1"/>
  <c r="O35" i="1"/>
  <c r="P35" i="1"/>
  <c r="Q35" i="1"/>
  <c r="O36" i="1"/>
  <c r="P36" i="1"/>
  <c r="Q36" i="1"/>
  <c r="R41" i="1"/>
  <c r="O30" i="1"/>
  <c r="P30" i="1"/>
  <c r="Q30" i="1"/>
  <c r="O23" i="1"/>
  <c r="O39" i="1" s="1"/>
  <c r="P23" i="1"/>
  <c r="P39" i="1" s="1"/>
  <c r="Q23" i="1"/>
  <c r="Q39" i="1" s="1"/>
  <c r="C33" i="1"/>
  <c r="R33" i="1" s="1"/>
  <c r="J11" i="1"/>
  <c r="J12" i="1" s="1"/>
  <c r="D26" i="1" s="1"/>
  <c r="G15" i="1"/>
  <c r="C14" i="1"/>
  <c r="C15" i="1" s="1"/>
  <c r="D14" i="1"/>
  <c r="D15" i="1" s="1"/>
  <c r="L20" i="1"/>
  <c r="M20" i="1" s="1"/>
  <c r="N20" i="1" s="1"/>
  <c r="L22" i="1" l="1"/>
  <c r="N21" i="1"/>
  <c r="N22" i="1"/>
  <c r="M21" i="1"/>
  <c r="M22" i="1"/>
  <c r="N26" i="1"/>
  <c r="M26" i="1"/>
  <c r="Q37" i="1"/>
  <c r="Q38" i="1" s="1"/>
  <c r="O37" i="1"/>
  <c r="O38" i="1" s="1"/>
  <c r="P37" i="1"/>
  <c r="P38" i="1" s="1"/>
  <c r="L26" i="1"/>
  <c r="K26" i="1"/>
  <c r="H26" i="1"/>
  <c r="J26" i="1"/>
  <c r="I26" i="1"/>
  <c r="G26" i="1"/>
  <c r="F26" i="1"/>
  <c r="E26" i="1"/>
  <c r="C26" i="1"/>
  <c r="N23" i="1" l="1"/>
  <c r="M27" i="1"/>
  <c r="N27" i="1"/>
  <c r="J27" i="1"/>
  <c r="K27" i="1"/>
  <c r="E27" i="1"/>
  <c r="F27" i="1"/>
  <c r="G27" i="1"/>
  <c r="H27" i="1"/>
  <c r="I27" i="1"/>
  <c r="L27" i="1"/>
  <c r="C27" i="1"/>
  <c r="D27" i="1"/>
  <c r="R26" i="1"/>
  <c r="J30" i="1" l="1"/>
  <c r="J28" i="1"/>
  <c r="J29" i="1"/>
  <c r="N30" i="1"/>
  <c r="N29" i="1"/>
  <c r="N28" i="1"/>
  <c r="M30" i="1"/>
  <c r="M28" i="1"/>
  <c r="M29" i="1"/>
  <c r="D30" i="1"/>
  <c r="D29" i="1"/>
  <c r="D28" i="1"/>
  <c r="C30" i="1"/>
  <c r="C28" i="1"/>
  <c r="C29" i="1"/>
  <c r="L30" i="1"/>
  <c r="L28" i="1"/>
  <c r="L29" i="1"/>
  <c r="I30" i="1"/>
  <c r="I29" i="1"/>
  <c r="I28" i="1"/>
  <c r="H30" i="1"/>
  <c r="H29" i="1"/>
  <c r="H28" i="1"/>
  <c r="G30" i="1"/>
  <c r="G29" i="1"/>
  <c r="G28" i="1"/>
  <c r="F30" i="1"/>
  <c r="F28" i="1"/>
  <c r="F29" i="1"/>
  <c r="E30" i="1"/>
  <c r="E29" i="1"/>
  <c r="E28" i="1"/>
  <c r="K30" i="1"/>
  <c r="K29" i="1"/>
  <c r="K28" i="1"/>
  <c r="P42" i="1"/>
  <c r="O42" i="1"/>
  <c r="Q42" i="1"/>
  <c r="C34" i="1"/>
  <c r="R27" i="1"/>
  <c r="R28" i="1" s="1"/>
  <c r="R29" i="1" s="1"/>
  <c r="R30" i="1" l="1"/>
  <c r="C35" i="1"/>
  <c r="C40" i="1" s="1"/>
  <c r="L34" i="1"/>
  <c r="D34" i="1"/>
  <c r="K34" i="1"/>
  <c r="I34" i="1"/>
  <c r="J34" i="1"/>
  <c r="E34" i="1"/>
  <c r="F34" i="1"/>
  <c r="H34" i="1"/>
  <c r="G34" i="1"/>
  <c r="O12" i="1" l="1"/>
  <c r="G35" i="1"/>
  <c r="H35" i="1"/>
  <c r="F35" i="1"/>
  <c r="E35" i="1"/>
  <c r="N34" i="1"/>
  <c r="J35" i="1"/>
  <c r="I35" i="1"/>
  <c r="K35" i="1"/>
  <c r="K40" i="1" s="1"/>
  <c r="M34" i="1"/>
  <c r="D35" i="1"/>
  <c r="L35" i="1"/>
  <c r="L40" i="1" s="1"/>
  <c r="D40" i="1" l="1"/>
  <c r="F40" i="1"/>
  <c r="I40" i="1"/>
  <c r="J40" i="1"/>
  <c r="H40" i="1"/>
  <c r="G40" i="1"/>
  <c r="E40" i="1"/>
  <c r="N35" i="1"/>
  <c r="M35" i="1"/>
  <c r="R36" i="1"/>
  <c r="R34" i="1"/>
  <c r="E21" i="1"/>
  <c r="F21" i="1"/>
  <c r="G21" i="1"/>
  <c r="H21" i="1"/>
  <c r="I21" i="1"/>
  <c r="M40" i="1" l="1"/>
  <c r="N40" i="1"/>
  <c r="R35" i="1"/>
  <c r="H23" i="1"/>
  <c r="H37" i="1" s="1"/>
  <c r="H38" i="1" l="1"/>
  <c r="H42" i="1"/>
  <c r="H39" i="1"/>
  <c r="I23" i="1"/>
  <c r="I37" i="1" s="1"/>
  <c r="D21" i="1"/>
  <c r="C21" i="1"/>
  <c r="I38" i="1" l="1"/>
  <c r="I42" i="1"/>
  <c r="I39" i="1"/>
  <c r="J21" i="1"/>
  <c r="J23" i="1" s="1"/>
  <c r="J37" i="1" s="1"/>
  <c r="C23" i="1"/>
  <c r="D23" i="1"/>
  <c r="E23" i="1"/>
  <c r="G23" i="1"/>
  <c r="G37" i="1" s="1"/>
  <c r="F23" i="1"/>
  <c r="F37" i="1" s="1"/>
  <c r="F38" i="1" l="1"/>
  <c r="F42" i="1"/>
  <c r="G38" i="1"/>
  <c r="G42" i="1"/>
  <c r="J38" i="1"/>
  <c r="J42" i="1"/>
  <c r="E38" i="1"/>
  <c r="E37" i="1"/>
  <c r="E42" i="1" s="1"/>
  <c r="D38" i="1"/>
  <c r="D37" i="1"/>
  <c r="D42" i="1" s="1"/>
  <c r="F39" i="1"/>
  <c r="G39" i="1"/>
  <c r="E39" i="1"/>
  <c r="D39" i="1"/>
  <c r="J39" i="1"/>
  <c r="C37" i="1"/>
  <c r="C42" i="1" s="1"/>
  <c r="C39" i="1"/>
  <c r="L21" i="1"/>
  <c r="K21" i="1"/>
  <c r="L23" i="1" l="1"/>
  <c r="L37" i="1" s="1"/>
  <c r="K23" i="1"/>
  <c r="K37" i="1" s="1"/>
  <c r="K38" i="1" l="1"/>
  <c r="K42" i="1"/>
  <c r="L38" i="1"/>
  <c r="L42" i="1"/>
  <c r="L39" i="1"/>
  <c r="K39" i="1"/>
  <c r="R20" i="1"/>
  <c r="M23" i="1"/>
  <c r="M37" i="1" s="1"/>
  <c r="M38" i="1" l="1"/>
  <c r="M42" i="1"/>
  <c r="M39" i="1"/>
  <c r="R40" i="1" s="1"/>
  <c r="R42" i="1" s="1"/>
  <c r="R22" i="1"/>
  <c r="R21" i="1"/>
  <c r="N37" i="1" l="1"/>
  <c r="N38" i="1" l="1"/>
  <c r="R38" i="1" s="1"/>
  <c r="N42" i="1"/>
  <c r="R23" i="1"/>
  <c r="N39" i="1"/>
  <c r="R37" i="1" l="1"/>
  <c r="R39" i="1"/>
</calcChain>
</file>

<file path=xl/sharedStrings.xml><?xml version="1.0" encoding="utf-8"?>
<sst xmlns="http://schemas.openxmlformats.org/spreadsheetml/2006/main" count="73" uniqueCount="67">
  <si>
    <t>Issue 12 1% Tax</t>
  </si>
  <si>
    <t>1.5% tax on payroll</t>
  </si>
  <si>
    <t>Total</t>
  </si>
  <si>
    <t>Total New Income Tax</t>
  </si>
  <si>
    <t>Jeff Gottke</t>
  </si>
  <si>
    <t>RATE (%)</t>
  </si>
  <si>
    <t>TERM (YRS)</t>
  </si>
  <si>
    <t>Parcel(s):</t>
  </si>
  <si>
    <t>Tech Center Drive</t>
  </si>
  <si>
    <t>Abatement Value</t>
  </si>
  <si>
    <t>TIF Service Payments</t>
  </si>
  <si>
    <t>12 Months</t>
  </si>
  <si>
    <t>* 3% increase in payroll per year beginning in year 2</t>
  </si>
  <si>
    <t>Total Revenue Value</t>
  </si>
  <si>
    <t>Parcel 1</t>
  </si>
  <si>
    <t>Parcel 2</t>
  </si>
  <si>
    <t>025-13634-00</t>
  </si>
  <si>
    <t>027-000110-00</t>
  </si>
  <si>
    <t>Address:</t>
  </si>
  <si>
    <t>Acreage:</t>
  </si>
  <si>
    <t>Land Cost:</t>
  </si>
  <si>
    <t>Construction Term:</t>
  </si>
  <si>
    <t>Building Size (SF):</t>
  </si>
  <si>
    <t>Job Creation Est.:</t>
  </si>
  <si>
    <t>Job Creation Term (YRS):</t>
  </si>
  <si>
    <t>Final Payroll:</t>
  </si>
  <si>
    <t>Effective Millage Rate:</t>
  </si>
  <si>
    <t>Job Creation Table</t>
  </si>
  <si>
    <t>Average Wage:</t>
  </si>
  <si>
    <t>Construction Hard Costs:</t>
  </si>
  <si>
    <t>Construction Soft Costs:</t>
  </si>
  <si>
    <t>Author:</t>
  </si>
  <si>
    <t>Updated:</t>
  </si>
  <si>
    <t>Unabated Tax Load</t>
  </si>
  <si>
    <t>Current Appraised Value:</t>
  </si>
  <si>
    <t>Current Assessed Value:</t>
  </si>
  <si>
    <t>Current Taxes:</t>
  </si>
  <si>
    <t xml:space="preserve">Project Name: </t>
  </si>
  <si>
    <t>Community Impact Programs</t>
  </si>
  <si>
    <t>School Share</t>
  </si>
  <si>
    <t>City Share</t>
  </si>
  <si>
    <t>TO COMPANY</t>
  </si>
  <si>
    <t>TO COMMUNITY</t>
  </si>
  <si>
    <t>After Sale  - Base Tax</t>
  </si>
  <si>
    <t>Calendar Year</t>
  </si>
  <si>
    <t>1. PRE-PROJECT DETAILS</t>
  </si>
  <si>
    <t>2. PROJECT DETAILS</t>
  </si>
  <si>
    <t>4. PROPOSED ABATEMENT</t>
  </si>
  <si>
    <t>5. RETURN ON INVESTMENT</t>
  </si>
  <si>
    <t>Property Taxes Abated</t>
  </si>
  <si>
    <t>To the Company</t>
  </si>
  <si>
    <t>Velocis Gahanna JV, LP</t>
  </si>
  <si>
    <t>Guaranteed Jobs</t>
  </si>
  <si>
    <t>Guaranteed Payroll</t>
  </si>
  <si>
    <t>To the Community</t>
  </si>
  <si>
    <t>Unabated Portion</t>
  </si>
  <si>
    <t xml:space="preserve">Income Tax Collections </t>
  </si>
  <si>
    <t xml:space="preserve">School Share </t>
  </si>
  <si>
    <t>3. POST-PROJECT  VALUES</t>
  </si>
  <si>
    <t>Land - Assessed</t>
  </si>
  <si>
    <t>Imps - Appraised</t>
  </si>
  <si>
    <t>Imps - Assessed</t>
  </si>
  <si>
    <t>Income Tax</t>
  </si>
  <si>
    <t>CRA ABATEMENT ROI CALCULATOR</t>
  </si>
  <si>
    <t>TOTAL PROJECT IMPACT</t>
  </si>
  <si>
    <t>06.05.25</t>
  </si>
  <si>
    <t>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</si>
</sst>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4" xfId="0" applyBorder="1"/>
    <xf numFmtId="0" fontId="0" fillId="0" borderId="6" xfId="0" applyBorder="1"/>
    <xf numFmtId="3" fontId="3" fillId="0" borderId="0" xfId="1" applyNumberFormat="1" applyFont="1" applyFill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3" fontId="6" fillId="0" borderId="0" xfId="0" applyNumberFormat="1" applyFont="1" applyFill="1"/>
    <xf numFmtId="164" fontId="0" fillId="0" borderId="0" xfId="1" applyNumberFormat="1" applyFont="1"/>
    <xf numFmtId="0" fontId="7" fillId="0" borderId="0" xfId="0" applyFont="1" applyFill="1" applyBorder="1"/>
    <xf numFmtId="3" fontId="7" fillId="0" borderId="0" xfId="1" applyNumberFormat="1" applyFont="1" applyFill="1" applyBorder="1"/>
    <xf numFmtId="0" fontId="2" fillId="0" borderId="0" xfId="0" applyFont="1" applyBorder="1"/>
    <xf numFmtId="164" fontId="6" fillId="2" borderId="0" xfId="1" applyNumberFormat="1" applyFont="1" applyFill="1"/>
    <xf numFmtId="164" fontId="2" fillId="0" borderId="0" xfId="1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0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/>
    </xf>
    <xf numFmtId="164" fontId="7" fillId="0" borderId="0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/>
    </xf>
    <xf numFmtId="164" fontId="0" fillId="0" borderId="5" xfId="1" applyNumberFormat="1" applyFont="1" applyBorder="1"/>
    <xf numFmtId="44" fontId="0" fillId="0" borderId="5" xfId="1" applyFont="1" applyBorder="1" applyAlignment="1">
      <alignment horizontal="right"/>
    </xf>
    <xf numFmtId="3" fontId="0" fillId="0" borderId="5" xfId="0" applyNumberFormat="1" applyFont="1" applyBorder="1"/>
    <xf numFmtId="0" fontId="0" fillId="0" borderId="5" xfId="0" applyFont="1" applyBorder="1"/>
    <xf numFmtId="0" fontId="8" fillId="4" borderId="1" xfId="0" applyFont="1" applyFill="1" applyBorder="1"/>
    <xf numFmtId="3" fontId="7" fillId="4" borderId="2" xfId="1" applyNumberFormat="1" applyFont="1" applyFill="1" applyBorder="1"/>
    <xf numFmtId="0" fontId="7" fillId="0" borderId="4" xfId="0" applyFont="1" applyFill="1" applyBorder="1"/>
    <xf numFmtId="0" fontId="6" fillId="2" borderId="8" xfId="0" applyFont="1" applyFill="1" applyBorder="1"/>
    <xf numFmtId="164" fontId="6" fillId="2" borderId="14" xfId="1" applyNumberFormat="1" applyFont="1" applyFill="1" applyBorder="1"/>
    <xf numFmtId="164" fontId="7" fillId="0" borderId="0" xfId="1" applyNumberFormat="1" applyFont="1" applyFill="1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NumberFormat="1" applyFont="1" applyAlignment="1">
      <alignment horizontal="left"/>
    </xf>
    <xf numFmtId="0" fontId="8" fillId="3" borderId="1" xfId="0" applyFont="1" applyFill="1" applyBorder="1"/>
    <xf numFmtId="3" fontId="7" fillId="3" borderId="2" xfId="1" applyNumberFormat="1" applyFont="1" applyFill="1" applyBorder="1"/>
    <xf numFmtId="164" fontId="6" fillId="2" borderId="11" xfId="1" applyNumberFormat="1" applyFont="1" applyFill="1" applyBorder="1"/>
    <xf numFmtId="3" fontId="1" fillId="3" borderId="2" xfId="1" applyNumberFormat="1" applyFont="1" applyFill="1" applyBorder="1"/>
    <xf numFmtId="164" fontId="0" fillId="0" borderId="5" xfId="1" applyNumberFormat="1" applyFont="1" applyFill="1" applyBorder="1" applyAlignment="1">
      <alignment horizontal="left"/>
    </xf>
    <xf numFmtId="0" fontId="0" fillId="0" borderId="4" xfId="0" applyFill="1" applyBorder="1"/>
    <xf numFmtId="0" fontId="0" fillId="0" borderId="13" xfId="0" applyFill="1" applyBorder="1"/>
    <xf numFmtId="164" fontId="0" fillId="0" borderId="4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Alignment="1">
      <alignment horizontal="left"/>
    </xf>
    <xf numFmtId="3" fontId="0" fillId="0" borderId="0" xfId="1" applyNumberFormat="1" applyFont="1" applyFill="1" applyBorder="1"/>
    <xf numFmtId="3" fontId="0" fillId="0" borderId="13" xfId="0" applyNumberFormat="1" applyFill="1" applyBorder="1"/>
    <xf numFmtId="0" fontId="0" fillId="0" borderId="6" xfId="0" applyFill="1" applyBorder="1"/>
    <xf numFmtId="3" fontId="0" fillId="0" borderId="11" xfId="1" applyNumberFormat="1" applyFont="1" applyFill="1" applyBorder="1"/>
    <xf numFmtId="0" fontId="2" fillId="5" borderId="13" xfId="0" applyFont="1" applyFill="1" applyBorder="1" applyAlignment="1">
      <alignment horizontal="center"/>
    </xf>
    <xf numFmtId="164" fontId="6" fillId="2" borderId="4" xfId="1" applyNumberFormat="1" applyFont="1" applyFill="1" applyBorder="1"/>
    <xf numFmtId="164" fontId="6" fillId="2" borderId="0" xfId="1" applyNumberFormat="1" applyFont="1" applyFill="1" applyBorder="1"/>
    <xf numFmtId="164" fontId="7" fillId="0" borderId="11" xfId="1" applyNumberFormat="1" applyFont="1" applyBorder="1" applyAlignment="1">
      <alignment horizontal="right" vertical="top" wrapText="1"/>
    </xf>
    <xf numFmtId="164" fontId="7" fillId="0" borderId="7" xfId="1" applyNumberFormat="1" applyFont="1" applyFill="1" applyBorder="1" applyAlignment="1">
      <alignment horizontal="right"/>
    </xf>
    <xf numFmtId="164" fontId="2" fillId="0" borderId="5" xfId="1" applyNumberFormat="1" applyFont="1" applyFill="1" applyBorder="1"/>
    <xf numFmtId="0" fontId="2" fillId="5" borderId="1" xfId="0" applyFont="1" applyFill="1" applyBorder="1"/>
    <xf numFmtId="164" fontId="6" fillId="2" borderId="5" xfId="1" applyNumberFormat="1" applyFont="1" applyFill="1" applyBorder="1"/>
    <xf numFmtId="164" fontId="8" fillId="0" borderId="0" xfId="1" applyNumberFormat="1" applyFont="1" applyFill="1" applyBorder="1"/>
    <xf numFmtId="164" fontId="8" fillId="0" borderId="13" xfId="1" applyNumberFormat="1" applyFont="1" applyFill="1" applyBorder="1"/>
    <xf numFmtId="0" fontId="6" fillId="2" borderId="6" xfId="0" applyFont="1" applyFill="1" applyBorder="1"/>
    <xf numFmtId="164" fontId="0" fillId="0" borderId="0" xfId="0" applyNumberFormat="1"/>
    <xf numFmtId="0" fontId="0" fillId="5" borderId="2" xfId="0" applyFont="1" applyFill="1" applyBorder="1"/>
    <xf numFmtId="0" fontId="0" fillId="5" borderId="2" xfId="0" applyFont="1" applyFill="1" applyBorder="1" applyAlignment="1">
      <alignment horizontal="right"/>
    </xf>
    <xf numFmtId="0" fontId="0" fillId="5" borderId="0" xfId="0" applyFont="1" applyFill="1" applyBorder="1"/>
    <xf numFmtId="0" fontId="2" fillId="0" borderId="14" xfId="0" applyFont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3" fontId="12" fillId="0" borderId="0" xfId="1" applyNumberFormat="1" applyFont="1" applyFill="1" applyBorder="1"/>
    <xf numFmtId="0" fontId="13" fillId="0" borderId="0" xfId="0" applyFont="1"/>
    <xf numFmtId="0" fontId="14" fillId="0" borderId="0" xfId="0" applyFont="1"/>
    <xf numFmtId="0" fontId="2" fillId="0" borderId="14" xfId="0" applyFont="1" applyFill="1" applyBorder="1" applyAlignment="1">
      <alignment horizontal="center"/>
    </xf>
    <xf numFmtId="0" fontId="2" fillId="0" borderId="14" xfId="0" applyFont="1" applyBorder="1"/>
    <xf numFmtId="0" fontId="2" fillId="0" borderId="9" xfId="0" applyFont="1" applyBorder="1"/>
    <xf numFmtId="164" fontId="12" fillId="0" borderId="13" xfId="1" applyNumberFormat="1" applyFont="1" applyFill="1" applyBorder="1"/>
    <xf numFmtId="3" fontId="14" fillId="0" borderId="0" xfId="1" applyNumberFormat="1" applyFont="1" applyFill="1" applyBorder="1"/>
    <xf numFmtId="3" fontId="12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/>
    <xf numFmtId="3" fontId="2" fillId="0" borderId="0" xfId="1" applyNumberFormat="1" applyFont="1" applyFill="1" applyBorder="1"/>
    <xf numFmtId="0" fontId="2" fillId="0" borderId="8" xfId="0" applyFont="1" applyBorder="1"/>
    <xf numFmtId="0" fontId="10" fillId="9" borderId="1" xfId="0" applyFont="1" applyFill="1" applyBorder="1"/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164" fontId="9" fillId="6" borderId="17" xfId="0" applyNumberFormat="1" applyFont="1" applyFill="1" applyBorder="1"/>
    <xf numFmtId="164" fontId="9" fillId="3" borderId="13" xfId="0" applyNumberFormat="1" applyFont="1" applyFill="1" applyBorder="1"/>
    <xf numFmtId="0" fontId="0" fillId="0" borderId="0" xfId="0" applyFont="1" applyFill="1" applyBorder="1"/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1" applyNumberFormat="1" applyFont="1" applyFill="1" applyBorder="1" applyAlignment="1">
      <alignment horizontal="left"/>
    </xf>
    <xf numFmtId="0" fontId="8" fillId="0" borderId="4" xfId="0" applyFont="1" applyFill="1" applyBorder="1"/>
    <xf numFmtId="164" fontId="1" fillId="0" borderId="5" xfId="1" applyNumberFormat="1" applyFont="1" applyFill="1" applyBorder="1"/>
    <xf numFmtId="164" fontId="0" fillId="0" borderId="11" xfId="0" applyNumberFormat="1" applyBorder="1"/>
    <xf numFmtId="164" fontId="7" fillId="0" borderId="13" xfId="1" applyNumberFormat="1" applyFont="1" applyFill="1" applyBorder="1"/>
    <xf numFmtId="0" fontId="2" fillId="0" borderId="17" xfId="0" applyFont="1" applyBorder="1"/>
    <xf numFmtId="0" fontId="0" fillId="0" borderId="10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7" xfId="0" applyFill="1" applyBorder="1"/>
    <xf numFmtId="0" fontId="0" fillId="0" borderId="18" xfId="0" applyFill="1" applyBorder="1"/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4" fontId="0" fillId="0" borderId="16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3" xfId="0" applyNumberFormat="1" applyBorder="1"/>
    <xf numFmtId="164" fontId="0" fillId="0" borderId="19" xfId="0" applyNumberFormat="1" applyBorder="1"/>
    <xf numFmtId="0" fontId="9" fillId="0" borderId="0" xfId="0" applyFont="1"/>
    <xf numFmtId="0" fontId="0" fillId="0" borderId="0" xfId="1" applyNumberFormat="1" applyFont="1" applyFill="1" applyAlignment="1">
      <alignment horizontal="right"/>
    </xf>
    <xf numFmtId="9" fontId="9" fillId="7" borderId="18" xfId="2" applyFont="1" applyFill="1" applyBorder="1" applyAlignment="1">
      <alignment horizontal="center"/>
    </xf>
    <xf numFmtId="9" fontId="9" fillId="7" borderId="19" xfId="2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165" fontId="9" fillId="11" borderId="17" xfId="0" applyNumberFormat="1" applyFont="1" applyFill="1" applyBorder="1" applyAlignment="1">
      <alignment horizontal="center"/>
    </xf>
    <xf numFmtId="165" fontId="9" fillId="11" borderId="13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769936</xdr:colOff>
      <xdr:row>0</xdr:row>
      <xdr:rowOff>127000</xdr:rowOff>
    </xdr:from>
    <xdr:to>
      <xdr:col>2</xdr:col>
      <xdr:colOff>1050924</xdr:colOff>
      <xdr:row>7</xdr:row>
      <xdr:rowOff>34390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9C58B-6EE2-85AF-D877-9A14849F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127000"/>
          <a:ext cx="2170113" cy="130439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157162</xdr:colOff>
      <xdr:row>9</xdr:row>
      <xdr:rowOff>134937</xdr:rowOff>
    </xdr:from>
    <xdr:to>
      <xdr:col>4</xdr:col>
      <xdr:colOff>757237</xdr:colOff>
      <xdr:row>11</xdr:row>
      <xdr:rowOff>30162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EBBA10E-6A23-4B61-421D-C8D57660CF31}"/>
            </a:ext>
          </a:extLst>
        </xdr:cNvPr>
        <xdr:cNvSpPr/>
      </xdr:nvSpPr>
      <xdr:spPr>
        <a:xfrm>
          <a:off x="4689475" y="1881187"/>
          <a:ext cx="600075" cy="331788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131762</xdr:colOff>
      <xdr:row>9</xdr:row>
      <xdr:rowOff>168276</xdr:rowOff>
    </xdr:from>
    <xdr:to>
      <xdr:col>7</xdr:col>
      <xdr:colOff>757237</xdr:colOff>
      <xdr:row>11</xdr:row>
      <xdr:rowOff>47625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35F8E7E-4335-4305-80C3-324409B39097}"/>
            </a:ext>
          </a:extLst>
        </xdr:cNvPr>
        <xdr:cNvSpPr/>
      </xdr:nvSpPr>
      <xdr:spPr>
        <a:xfrm>
          <a:off x="8029575" y="1914526"/>
          <a:ext cx="625475" cy="31591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108743</xdr:colOff>
      <xdr:row>9</xdr:row>
      <xdr:rowOff>153196</xdr:rowOff>
    </xdr:from>
    <xdr:to>
      <xdr:col>10</xdr:col>
      <xdr:colOff>792163</xdr:colOff>
      <xdr:row>11</xdr:row>
      <xdr:rowOff>63500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F5AABDD6-B987-491C-B96D-63E3ECC5866E}"/>
            </a:ext>
          </a:extLst>
        </xdr:cNvPr>
        <xdr:cNvSpPr/>
      </xdr:nvSpPr>
      <xdr:spPr>
        <a:xfrm>
          <a:off x="11213306" y="1899446"/>
          <a:ext cx="683420" cy="34686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88901</xdr:colOff>
      <xdr:row>9</xdr:row>
      <xdr:rowOff>150812</xdr:rowOff>
    </xdr:from>
    <xdr:to>
      <xdr:col>13</xdr:col>
      <xdr:colOff>777875</xdr:colOff>
      <xdr:row>11</xdr:row>
      <xdr:rowOff>55562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208343AA-B6D8-4246-AC75-938EB8CFB672}"/>
            </a:ext>
          </a:extLst>
        </xdr:cNvPr>
        <xdr:cNvSpPr/>
      </xdr:nvSpPr>
      <xdr:spPr>
        <a:xfrm>
          <a:off x="14185901" y="1897062"/>
          <a:ext cx="688974" cy="341313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6FC6-8956-4286-B6EF-A5DD59569A84}">
  <sheetPr>
    <pageSetUpPr fitToPage="1"/>
  </sheetPr>
  <dimension ref="B3:S42"/>
  <sheetViews>
    <sheetView tabSelected="1" zoomScale="80" zoomScaleNormal="80" workbookViewId="0">
      <selection activeCell="T7" sqref="T7"/>
    </sheetView>
  </sheetViews>
  <sheetFormatPr defaultRowHeight="14.4" x14ac:dyDescent="0.3"/>
  <cols>
    <col min="1" max="1" width="4.109375" customWidth="1"/>
    <col min="2" max="2" width="28.33203125" customWidth="1"/>
    <col min="3" max="3" width="19.109375" customWidth="1"/>
    <col min="4" max="4" width="16.33203125" customWidth="1"/>
    <col min="5" max="5" width="13.44140625" customWidth="1"/>
    <col min="6" max="6" width="23" bestFit="1" customWidth="1"/>
    <col min="7" max="7" width="13.88671875" customWidth="1"/>
    <col min="8" max="8" width="13.109375" customWidth="1"/>
    <col min="9" max="9" width="15.5546875" customWidth="1"/>
    <col min="10" max="10" width="14.5546875" customWidth="1"/>
    <col min="11" max="11" width="13.109375" customWidth="1"/>
    <col min="12" max="12" width="16.109375" customWidth="1"/>
    <col min="13" max="13" width="15.5546875" customWidth="1"/>
    <col min="14" max="14" width="13" customWidth="1"/>
    <col min="15" max="15" width="14.44140625" customWidth="1"/>
    <col min="16" max="16" width="16.109375" customWidth="1"/>
    <col min="17" max="17" width="18" customWidth="1"/>
    <col min="18" max="18" width="13" customWidth="1"/>
    <col min="19" max="19" width="8.44140625" customWidth="1"/>
    <col min="20" max="20" width="19.6640625" customWidth="1"/>
    <col min="21" max="21" width="25.88671875" customWidth="1"/>
  </cols>
  <sheetData>
    <row r="3" spans="2:16" x14ac:dyDescent="0.3">
      <c r="I3" s="16" t="s">
        <v>37</v>
      </c>
      <c r="J3" s="15" t="s">
        <v>51</v>
      </c>
    </row>
    <row r="4" spans="2:16" ht="18" x14ac:dyDescent="0.35">
      <c r="D4" s="109" t="s">
        <v>63</v>
      </c>
      <c r="E4" s="109"/>
      <c r="I4" t="s">
        <v>31</v>
      </c>
      <c r="J4" s="97" t="s">
        <v>4</v>
      </c>
    </row>
    <row r="5" spans="2:16" ht="15" thickBot="1" x14ac:dyDescent="0.35">
      <c r="I5" t="s">
        <v>32</v>
      </c>
      <c r="J5" s="98" t="s">
        <v>65</v>
      </c>
    </row>
    <row r="6" spans="2:16" x14ac:dyDescent="0.3">
      <c r="F6" s="113" t="s">
        <v>46</v>
      </c>
      <c r="G6" s="114"/>
    </row>
    <row r="7" spans="2:16" ht="15" thickBot="1" x14ac:dyDescent="0.35">
      <c r="F7" s="1" t="s">
        <v>20</v>
      </c>
      <c r="G7" s="41">
        <v>2250000</v>
      </c>
    </row>
    <row r="8" spans="2:16" x14ac:dyDescent="0.3">
      <c r="B8" s="81" t="s">
        <v>45</v>
      </c>
      <c r="C8" s="103" t="s">
        <v>14</v>
      </c>
      <c r="D8" s="104" t="s">
        <v>15</v>
      </c>
      <c r="F8" s="1" t="s">
        <v>29</v>
      </c>
      <c r="G8" s="23">
        <v>13528429</v>
      </c>
      <c r="O8" s="115" t="s">
        <v>48</v>
      </c>
      <c r="P8" s="116"/>
    </row>
    <row r="9" spans="2:16" x14ac:dyDescent="0.3">
      <c r="B9" s="1" t="s">
        <v>18</v>
      </c>
      <c r="C9" s="17" t="s">
        <v>8</v>
      </c>
      <c r="D9" s="18" t="s">
        <v>8</v>
      </c>
      <c r="F9" s="1" t="s">
        <v>30</v>
      </c>
      <c r="G9" s="23">
        <v>3723880</v>
      </c>
      <c r="I9" s="121" t="s">
        <v>58</v>
      </c>
      <c r="J9" s="122"/>
      <c r="O9" s="117" t="s">
        <v>64</v>
      </c>
      <c r="P9" s="118"/>
    </row>
    <row r="10" spans="2:16" ht="18" x14ac:dyDescent="0.35">
      <c r="B10" s="1" t="s">
        <v>7</v>
      </c>
      <c r="C10" s="17" t="s">
        <v>17</v>
      </c>
      <c r="D10" s="18" t="s">
        <v>16</v>
      </c>
      <c r="F10" s="1" t="s">
        <v>21</v>
      </c>
      <c r="G10" s="24" t="s">
        <v>11</v>
      </c>
      <c r="I10" s="99" t="s">
        <v>59</v>
      </c>
      <c r="J10" s="105">
        <v>64459</v>
      </c>
      <c r="L10" s="119" t="s">
        <v>47</v>
      </c>
      <c r="M10" s="120"/>
      <c r="O10" s="123">
        <f>R30+R42</f>
        <v>6283512.3866315391</v>
      </c>
      <c r="P10" s="124"/>
    </row>
    <row r="11" spans="2:16" x14ac:dyDescent="0.3">
      <c r="B11" s="1" t="s">
        <v>19</v>
      </c>
      <c r="C11" s="17">
        <v>8.19</v>
      </c>
      <c r="D11" s="18">
        <v>1.8</v>
      </c>
      <c r="F11" s="1" t="s">
        <v>22</v>
      </c>
      <c r="G11" s="25">
        <v>140916</v>
      </c>
      <c r="I11" s="100" t="s">
        <v>60</v>
      </c>
      <c r="J11" s="106">
        <f>G8</f>
        <v>13528429</v>
      </c>
      <c r="L11" s="82" t="s">
        <v>6</v>
      </c>
      <c r="M11" s="83" t="s">
        <v>5</v>
      </c>
      <c r="O11" s="89" t="s">
        <v>41</v>
      </c>
      <c r="P11" s="90" t="s">
        <v>42</v>
      </c>
    </row>
    <row r="12" spans="2:16" ht="18" x14ac:dyDescent="0.35">
      <c r="B12" s="1" t="s">
        <v>26</v>
      </c>
      <c r="C12" s="19">
        <v>81.853065999999998</v>
      </c>
      <c r="D12" s="20">
        <v>83.831187</v>
      </c>
      <c r="F12" s="1" t="s">
        <v>23</v>
      </c>
      <c r="G12" s="26">
        <v>37</v>
      </c>
      <c r="H12" s="88"/>
      <c r="I12" s="101" t="s">
        <v>61</v>
      </c>
      <c r="J12" s="107">
        <f>J11*0.35</f>
        <v>4734950.1499999994</v>
      </c>
      <c r="L12" s="84">
        <v>12</v>
      </c>
      <c r="M12" s="85">
        <v>80</v>
      </c>
      <c r="O12" s="86">
        <f>R30</f>
        <v>3720673.7964927354</v>
      </c>
      <c r="P12" s="87">
        <f>R42</f>
        <v>2562838.5901388042</v>
      </c>
    </row>
    <row r="13" spans="2:16" x14ac:dyDescent="0.3">
      <c r="B13" s="1" t="s">
        <v>34</v>
      </c>
      <c r="C13" s="21">
        <v>540700</v>
      </c>
      <c r="D13" s="22">
        <v>792000</v>
      </c>
      <c r="F13" s="1" t="s">
        <v>24</v>
      </c>
      <c r="G13" s="26">
        <v>7</v>
      </c>
      <c r="I13" s="102" t="s">
        <v>62</v>
      </c>
      <c r="J13" s="108">
        <v>466770</v>
      </c>
      <c r="K13" s="35"/>
      <c r="O13" s="117" t="s">
        <v>66</v>
      </c>
      <c r="P13" s="118"/>
    </row>
    <row r="14" spans="2:16" ht="18" x14ac:dyDescent="0.35">
      <c r="B14" s="1" t="s">
        <v>35</v>
      </c>
      <c r="C14" s="21">
        <f>C13*0.35</f>
        <v>189245</v>
      </c>
      <c r="D14" s="22">
        <f>D13*0.35</f>
        <v>277200</v>
      </c>
      <c r="F14" s="1" t="s">
        <v>25</v>
      </c>
      <c r="G14" s="23">
        <v>2060470</v>
      </c>
      <c r="J14" s="61"/>
      <c r="K14" s="34"/>
      <c r="O14" s="111">
        <f>P12/O12</f>
        <v>0.68881034197479074</v>
      </c>
      <c r="P14" s="112"/>
    </row>
    <row r="15" spans="2:16" ht="15" thickBot="1" x14ac:dyDescent="0.35">
      <c r="B15" s="2" t="s">
        <v>36</v>
      </c>
      <c r="C15" s="53">
        <f>C14*C12/1000</f>
        <v>15490.283475169999</v>
      </c>
      <c r="D15" s="54">
        <f>D14*D12/1000</f>
        <v>23238.005036400002</v>
      </c>
      <c r="F15" s="2" t="s">
        <v>28</v>
      </c>
      <c r="G15" s="94">
        <f>G14/G12</f>
        <v>55688.37837837838</v>
      </c>
      <c r="H15" s="96"/>
      <c r="I15" s="6"/>
      <c r="K15" s="34"/>
    </row>
    <row r="16" spans="2:16" ht="15" thickBot="1" x14ac:dyDescent="0.35">
      <c r="H16" s="12"/>
      <c r="K16" s="34"/>
    </row>
    <row r="17" spans="2:19" ht="15" thickBot="1" x14ac:dyDescent="0.35">
      <c r="B17" s="80" t="s">
        <v>44</v>
      </c>
      <c r="C17" s="65">
        <v>2026</v>
      </c>
      <c r="D17" s="72">
        <v>2027</v>
      </c>
      <c r="E17" s="65">
        <v>2028</v>
      </c>
      <c r="F17" s="65">
        <v>2029</v>
      </c>
      <c r="G17" s="65">
        <v>2030</v>
      </c>
      <c r="H17" s="65">
        <v>2031</v>
      </c>
      <c r="I17" s="65">
        <v>2032</v>
      </c>
      <c r="J17" s="65">
        <v>2033</v>
      </c>
      <c r="K17" s="65">
        <v>2034</v>
      </c>
      <c r="L17" s="65">
        <v>2035</v>
      </c>
      <c r="M17" s="73">
        <v>2036</v>
      </c>
      <c r="N17" s="73">
        <v>2037</v>
      </c>
      <c r="O17" s="73"/>
      <c r="P17" s="73"/>
      <c r="Q17" s="73"/>
      <c r="R17" s="74"/>
    </row>
    <row r="18" spans="2:19" x14ac:dyDescent="0.3">
      <c r="B18" s="56" t="s">
        <v>27</v>
      </c>
      <c r="C18" s="62">
        <v>1</v>
      </c>
      <c r="D18" s="62">
        <v>2</v>
      </c>
      <c r="E18" s="62">
        <v>3</v>
      </c>
      <c r="F18" s="62">
        <v>4</v>
      </c>
      <c r="G18" s="62">
        <v>5</v>
      </c>
      <c r="H18" s="62">
        <v>6</v>
      </c>
      <c r="I18" s="63">
        <v>7</v>
      </c>
      <c r="J18" s="62">
        <v>8</v>
      </c>
      <c r="K18" s="62">
        <v>9</v>
      </c>
      <c r="L18" s="62">
        <v>10</v>
      </c>
      <c r="M18" s="62">
        <v>11</v>
      </c>
      <c r="N18" s="64">
        <v>12</v>
      </c>
      <c r="O18" s="64">
        <v>13</v>
      </c>
      <c r="P18" s="64">
        <v>14</v>
      </c>
      <c r="Q18" s="64">
        <v>15</v>
      </c>
      <c r="R18" s="50" t="s">
        <v>2</v>
      </c>
    </row>
    <row r="19" spans="2:19" x14ac:dyDescent="0.3">
      <c r="B19" s="42" t="s">
        <v>52</v>
      </c>
      <c r="C19" s="33">
        <v>0</v>
      </c>
      <c r="D19" s="33">
        <v>30</v>
      </c>
      <c r="E19" s="33">
        <v>31</v>
      </c>
      <c r="F19" s="33">
        <v>32</v>
      </c>
      <c r="G19" s="33">
        <v>33</v>
      </c>
      <c r="H19" s="33">
        <v>34</v>
      </c>
      <c r="I19" s="33">
        <v>35</v>
      </c>
      <c r="J19" s="33">
        <v>36</v>
      </c>
      <c r="K19" s="33">
        <v>37</v>
      </c>
      <c r="L19" s="33">
        <v>37</v>
      </c>
      <c r="M19" s="33">
        <v>37</v>
      </c>
      <c r="N19" s="33">
        <v>37</v>
      </c>
      <c r="O19" s="33">
        <v>0</v>
      </c>
      <c r="P19" s="33">
        <v>0</v>
      </c>
      <c r="Q19" s="33">
        <v>0</v>
      </c>
      <c r="R19" s="43">
        <v>37</v>
      </c>
    </row>
    <row r="20" spans="2:19" s="36" customFormat="1" x14ac:dyDescent="0.3">
      <c r="B20" s="44" t="s">
        <v>53</v>
      </c>
      <c r="C20" s="45"/>
      <c r="D20" s="45">
        <v>1258320</v>
      </c>
      <c r="E20" s="45">
        <v>1347570</v>
      </c>
      <c r="F20" s="45">
        <v>1439497</v>
      </c>
      <c r="G20" s="45">
        <v>1534182</v>
      </c>
      <c r="H20" s="45">
        <v>1634707</v>
      </c>
      <c r="I20" s="45">
        <v>1732158</v>
      </c>
      <c r="J20" s="45">
        <v>1835622</v>
      </c>
      <c r="K20" s="45">
        <f>J20+50000</f>
        <v>1885622</v>
      </c>
      <c r="L20" s="45">
        <f>K20*0.03+K20</f>
        <v>1942190.66</v>
      </c>
      <c r="M20" s="45">
        <f t="shared" ref="M20" si="0">L20*0.03+L20</f>
        <v>2000456.3798</v>
      </c>
      <c r="N20" s="45">
        <f>M20*0.03+M20</f>
        <v>2060470.0711940001</v>
      </c>
      <c r="O20" s="110">
        <v>0</v>
      </c>
      <c r="P20" s="110">
        <v>0</v>
      </c>
      <c r="Q20" s="110">
        <v>0</v>
      </c>
      <c r="R20" s="91">
        <f>SUM(C20:N20)</f>
        <v>18670795.110994</v>
      </c>
    </row>
    <row r="21" spans="2:19" x14ac:dyDescent="0.3">
      <c r="B21" s="42" t="s">
        <v>1</v>
      </c>
      <c r="C21" s="46">
        <f>C20*1.5%</f>
        <v>0</v>
      </c>
      <c r="D21" s="46">
        <f>D20*1.5%</f>
        <v>18874.8</v>
      </c>
      <c r="E21" s="46">
        <f>E20*1.5%</f>
        <v>20213.55</v>
      </c>
      <c r="F21" s="46">
        <f t="shared" ref="F21:N21" si="1">F20*1.5%</f>
        <v>21592.454999999998</v>
      </c>
      <c r="G21" s="46">
        <f t="shared" si="1"/>
        <v>23012.73</v>
      </c>
      <c r="H21" s="46">
        <f t="shared" si="1"/>
        <v>24520.605</v>
      </c>
      <c r="I21" s="46">
        <f t="shared" si="1"/>
        <v>25982.37</v>
      </c>
      <c r="J21" s="46">
        <f t="shared" si="1"/>
        <v>27534.329999999998</v>
      </c>
      <c r="K21" s="46">
        <f t="shared" si="1"/>
        <v>28284.329999999998</v>
      </c>
      <c r="L21" s="46">
        <f t="shared" si="1"/>
        <v>29132.859899999999</v>
      </c>
      <c r="M21" s="46">
        <f t="shared" si="1"/>
        <v>30006.845696999997</v>
      </c>
      <c r="N21" s="46">
        <f t="shared" si="1"/>
        <v>30907.051067910001</v>
      </c>
      <c r="O21" s="46">
        <v>0</v>
      </c>
      <c r="P21" s="46">
        <v>0</v>
      </c>
      <c r="Q21" s="46">
        <v>0</v>
      </c>
      <c r="R21" s="47">
        <f>SUM(C21:N21)</f>
        <v>280061.92666490993</v>
      </c>
    </row>
    <row r="22" spans="2:19" ht="15" thickBot="1" x14ac:dyDescent="0.35">
      <c r="B22" s="48" t="s">
        <v>0</v>
      </c>
      <c r="C22" s="49">
        <f>C20*1%</f>
        <v>0</v>
      </c>
      <c r="D22" s="49">
        <f>D20*1%</f>
        <v>12583.2</v>
      </c>
      <c r="E22" s="49">
        <f t="shared" ref="E22:N22" si="2">E20*1%</f>
        <v>13475.7</v>
      </c>
      <c r="F22" s="49">
        <f t="shared" si="2"/>
        <v>14394.970000000001</v>
      </c>
      <c r="G22" s="49">
        <f t="shared" si="2"/>
        <v>15341.82</v>
      </c>
      <c r="H22" s="49">
        <f t="shared" si="2"/>
        <v>16347.07</v>
      </c>
      <c r="I22" s="49">
        <f t="shared" si="2"/>
        <v>17321.580000000002</v>
      </c>
      <c r="J22" s="49">
        <f t="shared" si="2"/>
        <v>18356.22</v>
      </c>
      <c r="K22" s="49">
        <f t="shared" si="2"/>
        <v>18856.22</v>
      </c>
      <c r="L22" s="49">
        <f t="shared" si="2"/>
        <v>19421.906599999998</v>
      </c>
      <c r="M22" s="49">
        <f t="shared" si="2"/>
        <v>20004.563797999999</v>
      </c>
      <c r="N22" s="49">
        <f t="shared" si="2"/>
        <v>20604.70071194</v>
      </c>
      <c r="O22" s="49">
        <v>0</v>
      </c>
      <c r="P22" s="49">
        <v>0</v>
      </c>
      <c r="Q22" s="49">
        <v>0</v>
      </c>
      <c r="R22" s="47">
        <f>SUM(C22:N22)</f>
        <v>186707.95110994001</v>
      </c>
    </row>
    <row r="23" spans="2:19" s="9" customFormat="1" x14ac:dyDescent="0.3">
      <c r="B23" s="51" t="s">
        <v>3</v>
      </c>
      <c r="C23" s="52">
        <f>SUM(C21:C22)</f>
        <v>0</v>
      </c>
      <c r="D23" s="52">
        <f>SUM(D21:D22)</f>
        <v>31458</v>
      </c>
      <c r="E23" s="52">
        <f t="shared" ref="E23:M23" si="3">SUM(E21:E22)</f>
        <v>33689.25</v>
      </c>
      <c r="F23" s="52">
        <f t="shared" si="3"/>
        <v>35987.425000000003</v>
      </c>
      <c r="G23" s="52">
        <f t="shared" si="3"/>
        <v>38354.550000000003</v>
      </c>
      <c r="H23" s="52">
        <f t="shared" si="3"/>
        <v>40867.675000000003</v>
      </c>
      <c r="I23" s="52">
        <f t="shared" si="3"/>
        <v>43303.95</v>
      </c>
      <c r="J23" s="52">
        <f t="shared" si="3"/>
        <v>45890.55</v>
      </c>
      <c r="K23" s="52">
        <f t="shared" si="3"/>
        <v>47140.55</v>
      </c>
      <c r="L23" s="52">
        <f t="shared" si="3"/>
        <v>48554.766499999998</v>
      </c>
      <c r="M23" s="52">
        <f t="shared" si="3"/>
        <v>50011.409495</v>
      </c>
      <c r="N23" s="52">
        <f>SUM(N21:N22)</f>
        <v>51511.751779850005</v>
      </c>
      <c r="O23" s="52">
        <f t="shared" ref="O23:Q23" si="4">SUM(O22:O22)</f>
        <v>0</v>
      </c>
      <c r="P23" s="52">
        <f t="shared" si="4"/>
        <v>0</v>
      </c>
      <c r="Q23" s="52">
        <f t="shared" si="4"/>
        <v>0</v>
      </c>
      <c r="R23" s="13">
        <f>SUM(C23:N23)</f>
        <v>466769.87777485</v>
      </c>
      <c r="S23" s="14"/>
    </row>
    <row r="24" spans="2:19" ht="15" thickBot="1" x14ac:dyDescent="0.35">
      <c r="B24" s="7"/>
      <c r="C24" s="11" t="s">
        <v>12</v>
      </c>
      <c r="F24" s="3"/>
      <c r="G24" s="3"/>
      <c r="H24" s="3"/>
      <c r="I24" s="3"/>
      <c r="J24" s="3"/>
      <c r="K24" s="3"/>
      <c r="L24" s="4"/>
      <c r="M24" s="3"/>
      <c r="N24" s="3"/>
      <c r="O24" s="3"/>
      <c r="P24" s="3"/>
      <c r="Q24" s="3"/>
      <c r="R24" s="8"/>
      <c r="S24" s="5"/>
    </row>
    <row r="25" spans="2:19" x14ac:dyDescent="0.3">
      <c r="B25" s="27" t="s">
        <v>50</v>
      </c>
      <c r="C25" s="28">
        <v>1</v>
      </c>
      <c r="D25" s="28">
        <v>2</v>
      </c>
      <c r="E25" s="28">
        <v>3</v>
      </c>
      <c r="F25" s="28">
        <v>4</v>
      </c>
      <c r="G25" s="28">
        <v>5</v>
      </c>
      <c r="H25" s="28">
        <v>6</v>
      </c>
      <c r="I25" s="28">
        <v>7</v>
      </c>
      <c r="J25" s="28">
        <v>8</v>
      </c>
      <c r="K25" s="28">
        <v>9</v>
      </c>
      <c r="L25" s="28">
        <v>10</v>
      </c>
      <c r="M25" s="28">
        <v>11</v>
      </c>
      <c r="N25" s="28">
        <v>12</v>
      </c>
      <c r="O25" s="28">
        <v>13</v>
      </c>
      <c r="P25" s="28">
        <v>14</v>
      </c>
      <c r="Q25" s="28">
        <v>15</v>
      </c>
      <c r="R25" s="66" t="s">
        <v>2</v>
      </c>
      <c r="S25" s="5"/>
    </row>
    <row r="26" spans="2:19" x14ac:dyDescent="0.3">
      <c r="B26" s="29" t="s">
        <v>33</v>
      </c>
      <c r="C26" s="32">
        <f t="shared" ref="C26:N26" si="5">$J$12*$C$12/1000</f>
        <v>387570.18713465985</v>
      </c>
      <c r="D26" s="32">
        <f t="shared" si="5"/>
        <v>387570.18713465985</v>
      </c>
      <c r="E26" s="32">
        <f t="shared" si="5"/>
        <v>387570.18713465985</v>
      </c>
      <c r="F26" s="32">
        <f t="shared" si="5"/>
        <v>387570.18713465985</v>
      </c>
      <c r="G26" s="32">
        <f t="shared" si="5"/>
        <v>387570.18713465985</v>
      </c>
      <c r="H26" s="32">
        <f t="shared" si="5"/>
        <v>387570.18713465985</v>
      </c>
      <c r="I26" s="32">
        <f t="shared" si="5"/>
        <v>387570.18713465985</v>
      </c>
      <c r="J26" s="32">
        <f t="shared" si="5"/>
        <v>387570.18713465985</v>
      </c>
      <c r="K26" s="32">
        <f t="shared" si="5"/>
        <v>387570.18713465985</v>
      </c>
      <c r="L26" s="32">
        <f t="shared" si="5"/>
        <v>387570.18713465985</v>
      </c>
      <c r="M26" s="32">
        <f t="shared" si="5"/>
        <v>387570.18713465985</v>
      </c>
      <c r="N26" s="32">
        <f t="shared" si="5"/>
        <v>387570.18713465985</v>
      </c>
      <c r="O26" s="32">
        <v>0</v>
      </c>
      <c r="P26" s="32">
        <v>0</v>
      </c>
      <c r="Q26" s="32">
        <v>0</v>
      </c>
      <c r="R26" s="93">
        <f>SUM(C26:Q26)</f>
        <v>4650842.2456159182</v>
      </c>
      <c r="S26" s="5"/>
    </row>
    <row r="27" spans="2:19" x14ac:dyDescent="0.3">
      <c r="B27" s="92" t="s">
        <v>49</v>
      </c>
      <c r="C27" s="58">
        <f t="shared" ref="C27:N27" si="6">$C$26*$M$12/100</f>
        <v>310056.14970772789</v>
      </c>
      <c r="D27" s="58">
        <f t="shared" si="6"/>
        <v>310056.14970772789</v>
      </c>
      <c r="E27" s="58">
        <f t="shared" si="6"/>
        <v>310056.14970772789</v>
      </c>
      <c r="F27" s="58">
        <f t="shared" si="6"/>
        <v>310056.14970772789</v>
      </c>
      <c r="G27" s="58">
        <f t="shared" si="6"/>
        <v>310056.14970772789</v>
      </c>
      <c r="H27" s="58">
        <f t="shared" si="6"/>
        <v>310056.14970772789</v>
      </c>
      <c r="I27" s="58">
        <f t="shared" si="6"/>
        <v>310056.14970772789</v>
      </c>
      <c r="J27" s="58">
        <f t="shared" si="6"/>
        <v>310056.14970772789</v>
      </c>
      <c r="K27" s="58">
        <f t="shared" si="6"/>
        <v>310056.14970772789</v>
      </c>
      <c r="L27" s="58">
        <f t="shared" si="6"/>
        <v>310056.14970772789</v>
      </c>
      <c r="M27" s="58">
        <f t="shared" si="6"/>
        <v>310056.14970772789</v>
      </c>
      <c r="N27" s="58">
        <f t="shared" si="6"/>
        <v>310056.14970772789</v>
      </c>
      <c r="O27" s="58">
        <v>0</v>
      </c>
      <c r="P27" s="58">
        <v>0</v>
      </c>
      <c r="Q27" s="58">
        <v>0</v>
      </c>
      <c r="R27" s="55">
        <f t="shared" ref="R27" si="7">SUM(C27:Q27)</f>
        <v>3720673.7964927354</v>
      </c>
      <c r="S27" s="5"/>
    </row>
    <row r="28" spans="2:19" x14ac:dyDescent="0.3">
      <c r="B28" s="68" t="s">
        <v>39</v>
      </c>
      <c r="C28" s="32">
        <f>C27*0.5846</f>
        <v>181258.82511913773</v>
      </c>
      <c r="D28" s="32">
        <f t="shared" ref="D28:G28" si="8">D27*0.5846</f>
        <v>181258.82511913773</v>
      </c>
      <c r="E28" s="32">
        <f t="shared" si="8"/>
        <v>181258.82511913773</v>
      </c>
      <c r="F28" s="32">
        <f t="shared" si="8"/>
        <v>181258.82511913773</v>
      </c>
      <c r="G28" s="32">
        <f t="shared" si="8"/>
        <v>181258.82511913773</v>
      </c>
      <c r="H28" s="32">
        <f t="shared" ref="H28" si="9">H27*0.5846</f>
        <v>181258.82511913773</v>
      </c>
      <c r="I28" s="32">
        <f t="shared" ref="I28" si="10">I27*0.5846</f>
        <v>181258.82511913773</v>
      </c>
      <c r="J28" s="32">
        <f t="shared" ref="J28:K28" si="11">J27*0.5846</f>
        <v>181258.82511913773</v>
      </c>
      <c r="K28" s="32">
        <f t="shared" si="11"/>
        <v>181258.82511913773</v>
      </c>
      <c r="L28" s="32">
        <f t="shared" ref="L28" si="12">L27*0.5846</f>
        <v>181258.82511913773</v>
      </c>
      <c r="M28" s="32">
        <f t="shared" ref="M28" si="13">M27*0.5846</f>
        <v>181258.82511913773</v>
      </c>
      <c r="N28" s="32">
        <f t="shared" ref="N28:O28" si="14">N27*0.5846</f>
        <v>181258.82511913773</v>
      </c>
      <c r="O28" s="32">
        <f t="shared" si="14"/>
        <v>0</v>
      </c>
      <c r="P28" s="32">
        <f t="shared" ref="P28" si="15">P27*0.5846</f>
        <v>0</v>
      </c>
      <c r="Q28" s="32">
        <f t="shared" ref="Q28" si="16">Q27*0.5846</f>
        <v>0</v>
      </c>
      <c r="R28" s="95">
        <f>R27*0.5846</f>
        <v>2175105.9014296532</v>
      </c>
      <c r="S28" s="5"/>
    </row>
    <row r="29" spans="2:19" ht="15" thickBot="1" x14ac:dyDescent="0.35">
      <c r="B29" s="68" t="s">
        <v>40</v>
      </c>
      <c r="C29" s="32">
        <f>C27*0.0199</f>
        <v>6170.1173791837855</v>
      </c>
      <c r="D29" s="32">
        <f t="shared" ref="D29:Q29" si="17">D27*0.0199</f>
        <v>6170.1173791837855</v>
      </c>
      <c r="E29" s="32">
        <f t="shared" si="17"/>
        <v>6170.1173791837855</v>
      </c>
      <c r="F29" s="32">
        <f t="shared" si="17"/>
        <v>6170.1173791837855</v>
      </c>
      <c r="G29" s="32">
        <f t="shared" si="17"/>
        <v>6170.1173791837855</v>
      </c>
      <c r="H29" s="32">
        <f t="shared" si="17"/>
        <v>6170.1173791837855</v>
      </c>
      <c r="I29" s="32">
        <f t="shared" si="17"/>
        <v>6170.1173791837855</v>
      </c>
      <c r="J29" s="32">
        <f t="shared" si="17"/>
        <v>6170.1173791837855</v>
      </c>
      <c r="K29" s="32">
        <f t="shared" si="17"/>
        <v>6170.1173791837855</v>
      </c>
      <c r="L29" s="32">
        <f t="shared" si="17"/>
        <v>6170.1173791837855</v>
      </c>
      <c r="M29" s="32">
        <f t="shared" si="17"/>
        <v>6170.1173791837855</v>
      </c>
      <c r="N29" s="32">
        <f t="shared" si="17"/>
        <v>6170.1173791837855</v>
      </c>
      <c r="O29" s="32">
        <f t="shared" si="17"/>
        <v>0</v>
      </c>
      <c r="P29" s="32">
        <f t="shared" si="17"/>
        <v>0</v>
      </c>
      <c r="Q29" s="32">
        <f t="shared" si="17"/>
        <v>0</v>
      </c>
      <c r="R29" s="95">
        <f>R28*0.5846</f>
        <v>1271566.9099757753</v>
      </c>
      <c r="S29" s="5"/>
    </row>
    <row r="30" spans="2:19" s="5" customFormat="1" ht="15" thickBot="1" x14ac:dyDescent="0.35">
      <c r="B30" s="30" t="s">
        <v>9</v>
      </c>
      <c r="C30" s="31">
        <f>C27</f>
        <v>310056.14970772789</v>
      </c>
      <c r="D30" s="31">
        <f t="shared" ref="D30:Q30" si="18">D27</f>
        <v>310056.14970772789</v>
      </c>
      <c r="E30" s="31">
        <f t="shared" si="18"/>
        <v>310056.14970772789</v>
      </c>
      <c r="F30" s="31">
        <f t="shared" si="18"/>
        <v>310056.14970772789</v>
      </c>
      <c r="G30" s="31">
        <f t="shared" si="18"/>
        <v>310056.14970772789</v>
      </c>
      <c r="H30" s="31">
        <f t="shared" si="18"/>
        <v>310056.14970772789</v>
      </c>
      <c r="I30" s="31">
        <f t="shared" si="18"/>
        <v>310056.14970772789</v>
      </c>
      <c r="J30" s="31">
        <f t="shared" si="18"/>
        <v>310056.14970772789</v>
      </c>
      <c r="K30" s="31">
        <f t="shared" si="18"/>
        <v>310056.14970772789</v>
      </c>
      <c r="L30" s="31">
        <f t="shared" si="18"/>
        <v>310056.14970772789</v>
      </c>
      <c r="M30" s="31">
        <f t="shared" si="18"/>
        <v>310056.14970772789</v>
      </c>
      <c r="N30" s="31">
        <f t="shared" si="18"/>
        <v>310056.14970772789</v>
      </c>
      <c r="O30" s="31">
        <f t="shared" si="18"/>
        <v>0</v>
      </c>
      <c r="P30" s="31">
        <f t="shared" si="18"/>
        <v>0</v>
      </c>
      <c r="Q30" s="31">
        <f t="shared" si="18"/>
        <v>0</v>
      </c>
      <c r="R30" s="57">
        <f>SUM(C30:Q30)</f>
        <v>3720673.7964927354</v>
      </c>
    </row>
    <row r="31" spans="2:19" ht="15" thickBot="1" x14ac:dyDescent="0.35">
      <c r="B31" s="10"/>
      <c r="C31" s="11"/>
      <c r="D31" s="11"/>
      <c r="E31" s="11"/>
      <c r="F31" s="11"/>
      <c r="G31" s="11"/>
      <c r="H31" s="11"/>
      <c r="I31" s="3"/>
      <c r="J31" s="3"/>
      <c r="K31" s="3"/>
      <c r="L31" s="3"/>
      <c r="M31" s="3"/>
      <c r="N31" s="3"/>
      <c r="O31" s="3"/>
      <c r="P31" s="3"/>
      <c r="Q31" s="3"/>
      <c r="R31" s="8"/>
      <c r="S31" s="5"/>
    </row>
    <row r="32" spans="2:19" x14ac:dyDescent="0.3">
      <c r="B32" s="37" t="s">
        <v>54</v>
      </c>
      <c r="C32" s="38">
        <v>1</v>
      </c>
      <c r="D32" s="38">
        <v>2</v>
      </c>
      <c r="E32" s="38">
        <v>3</v>
      </c>
      <c r="F32" s="38">
        <v>4</v>
      </c>
      <c r="G32" s="38">
        <v>5</v>
      </c>
      <c r="H32" s="38">
        <v>6</v>
      </c>
      <c r="I32" s="40">
        <v>7</v>
      </c>
      <c r="J32" s="40">
        <v>8</v>
      </c>
      <c r="K32" s="40">
        <v>9</v>
      </c>
      <c r="L32" s="40">
        <v>10</v>
      </c>
      <c r="M32" s="40">
        <v>11</v>
      </c>
      <c r="N32" s="40">
        <v>12</v>
      </c>
      <c r="O32" s="40">
        <v>13</v>
      </c>
      <c r="P32" s="40">
        <v>14</v>
      </c>
      <c r="Q32" s="40">
        <v>15</v>
      </c>
      <c r="R32" s="67" t="s">
        <v>2</v>
      </c>
      <c r="S32" s="5"/>
    </row>
    <row r="33" spans="2:19" x14ac:dyDescent="0.3">
      <c r="B33" s="92" t="s">
        <v>43</v>
      </c>
      <c r="C33" s="78">
        <f>(G7*0.35)*C12/1000</f>
        <v>64459.289475000005</v>
      </c>
      <c r="D33" s="78">
        <v>64459</v>
      </c>
      <c r="E33" s="78">
        <v>64459</v>
      </c>
      <c r="F33" s="78">
        <v>64459</v>
      </c>
      <c r="G33" s="78">
        <v>64459</v>
      </c>
      <c r="H33" s="78">
        <v>64459</v>
      </c>
      <c r="I33" s="78">
        <v>64459</v>
      </c>
      <c r="J33" s="78">
        <v>64459</v>
      </c>
      <c r="K33" s="78">
        <v>64459</v>
      </c>
      <c r="L33" s="78">
        <v>64459</v>
      </c>
      <c r="M33" s="78">
        <v>64459</v>
      </c>
      <c r="N33" s="78">
        <v>64459</v>
      </c>
      <c r="O33" s="78"/>
      <c r="P33" s="78"/>
      <c r="Q33" s="78"/>
      <c r="R33" s="59">
        <f>SUM(C33:Q33)</f>
        <v>773508.289475</v>
      </c>
      <c r="S33" s="5"/>
    </row>
    <row r="34" spans="2:19" x14ac:dyDescent="0.3">
      <c r="B34" s="92" t="s">
        <v>55</v>
      </c>
      <c r="C34" s="78">
        <f>C26-C27</f>
        <v>77514.037426931958</v>
      </c>
      <c r="D34" s="78">
        <f>C34</f>
        <v>77514.037426931958</v>
      </c>
      <c r="E34" s="78">
        <f>C34</f>
        <v>77514.037426931958</v>
      </c>
      <c r="F34" s="78">
        <f>C34</f>
        <v>77514.037426931958</v>
      </c>
      <c r="G34" s="78">
        <f>C34</f>
        <v>77514.037426931958</v>
      </c>
      <c r="H34" s="78">
        <f>C34</f>
        <v>77514.037426931958</v>
      </c>
      <c r="I34" s="78">
        <f>C34</f>
        <v>77514.037426931958</v>
      </c>
      <c r="J34" s="78">
        <f>C34</f>
        <v>77514.037426931958</v>
      </c>
      <c r="K34" s="78">
        <f>C34</f>
        <v>77514.037426931958</v>
      </c>
      <c r="L34" s="78">
        <f>C34</f>
        <v>77514.037426931958</v>
      </c>
      <c r="M34" s="78">
        <f>D34</f>
        <v>77514.037426931958</v>
      </c>
      <c r="N34" s="78">
        <f t="shared" ref="N34" si="19">E34</f>
        <v>77514.037426931958</v>
      </c>
      <c r="O34" s="78">
        <v>0</v>
      </c>
      <c r="P34" s="78">
        <v>0</v>
      </c>
      <c r="Q34" s="78">
        <v>0</v>
      </c>
      <c r="R34" s="59">
        <f>SUM(C34:Q34)</f>
        <v>930168.44912318373</v>
      </c>
      <c r="S34" s="5"/>
    </row>
    <row r="35" spans="2:19" x14ac:dyDescent="0.3">
      <c r="B35" s="68" t="s">
        <v>57</v>
      </c>
      <c r="C35" s="76">
        <f>C34*0.5846</f>
        <v>45314.706279784426</v>
      </c>
      <c r="D35" s="76">
        <f t="shared" ref="D35:F35" si="20">D34*0.5846</f>
        <v>45314.706279784426</v>
      </c>
      <c r="E35" s="76">
        <f t="shared" si="20"/>
        <v>45314.706279784426</v>
      </c>
      <c r="F35" s="76">
        <f t="shared" si="20"/>
        <v>45314.706279784426</v>
      </c>
      <c r="G35" s="76">
        <f t="shared" ref="G35" si="21">G34*0.5846</f>
        <v>45314.706279784426</v>
      </c>
      <c r="H35" s="76">
        <f t="shared" ref="H35" si="22">H34*0.5846</f>
        <v>45314.706279784426</v>
      </c>
      <c r="I35" s="76">
        <f t="shared" ref="I35" si="23">I34*0.5846</f>
        <v>45314.706279784426</v>
      </c>
      <c r="J35" s="76">
        <f t="shared" ref="J35" si="24">J34*0.5846</f>
        <v>45314.706279784426</v>
      </c>
      <c r="K35" s="76">
        <f t="shared" ref="K35" si="25">K34*0.5846</f>
        <v>45314.706279784426</v>
      </c>
      <c r="L35" s="76">
        <f t="shared" ref="L35" si="26">L34*0.5846</f>
        <v>45314.706279784426</v>
      </c>
      <c r="M35" s="76">
        <f t="shared" ref="M35" si="27">M34*0.5846</f>
        <v>45314.706279784426</v>
      </c>
      <c r="N35" s="76">
        <f t="shared" ref="N35" si="28">N34*0.5846</f>
        <v>45314.706279784426</v>
      </c>
      <c r="O35" s="76">
        <f t="shared" ref="O35" si="29">O34*0.5846</f>
        <v>0</v>
      </c>
      <c r="P35" s="76">
        <f t="shared" ref="P35" si="30">P34*0.5846</f>
        <v>0</v>
      </c>
      <c r="Q35" s="76">
        <f t="shared" ref="Q35" si="31">Q34*0.5846</f>
        <v>0</v>
      </c>
      <c r="R35" s="75">
        <f t="shared" ref="R35:R36" si="32">SUM(C35:Q35)</f>
        <v>543776.47535741318</v>
      </c>
      <c r="S35" s="5"/>
    </row>
    <row r="36" spans="2:19" x14ac:dyDescent="0.3">
      <c r="B36" s="68" t="s">
        <v>40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f t="shared" ref="O36:Q36" si="33">O34*0.0199</f>
        <v>0</v>
      </c>
      <c r="P36" s="76">
        <f t="shared" si="33"/>
        <v>0</v>
      </c>
      <c r="Q36" s="76">
        <f t="shared" si="33"/>
        <v>0</v>
      </c>
      <c r="R36" s="75">
        <f t="shared" si="32"/>
        <v>0</v>
      </c>
      <c r="S36" s="5"/>
    </row>
    <row r="37" spans="2:19" x14ac:dyDescent="0.3">
      <c r="B37" s="92" t="s">
        <v>56</v>
      </c>
      <c r="C37" s="78">
        <f>C23/2</f>
        <v>0</v>
      </c>
      <c r="D37" s="78">
        <f t="shared" ref="D37:R37" si="34">D23</f>
        <v>31458</v>
      </c>
      <c r="E37" s="78">
        <f t="shared" si="34"/>
        <v>33689.25</v>
      </c>
      <c r="F37" s="78">
        <f t="shared" si="34"/>
        <v>35987.425000000003</v>
      </c>
      <c r="G37" s="78">
        <f t="shared" si="34"/>
        <v>38354.550000000003</v>
      </c>
      <c r="H37" s="78">
        <f t="shared" si="34"/>
        <v>40867.675000000003</v>
      </c>
      <c r="I37" s="78">
        <f t="shared" si="34"/>
        <v>43303.95</v>
      </c>
      <c r="J37" s="78">
        <f t="shared" si="34"/>
        <v>45890.55</v>
      </c>
      <c r="K37" s="78">
        <f t="shared" si="34"/>
        <v>47140.55</v>
      </c>
      <c r="L37" s="78">
        <f t="shared" si="34"/>
        <v>48554.766499999998</v>
      </c>
      <c r="M37" s="78">
        <f t="shared" si="34"/>
        <v>50011.409495</v>
      </c>
      <c r="N37" s="78">
        <f t="shared" si="34"/>
        <v>51511.751779850005</v>
      </c>
      <c r="O37" s="78">
        <f t="shared" si="34"/>
        <v>0</v>
      </c>
      <c r="P37" s="78">
        <f t="shared" si="34"/>
        <v>0</v>
      </c>
      <c r="Q37" s="78">
        <f t="shared" si="34"/>
        <v>0</v>
      </c>
      <c r="R37" s="59">
        <f t="shared" si="34"/>
        <v>466769.87777485</v>
      </c>
      <c r="S37" s="5"/>
    </row>
    <row r="38" spans="2:19" s="71" customFormat="1" x14ac:dyDescent="0.3">
      <c r="B38" s="68" t="s">
        <v>39</v>
      </c>
      <c r="C38" s="77">
        <v>0</v>
      </c>
      <c r="D38" s="69">
        <f>D23/2</f>
        <v>15729</v>
      </c>
      <c r="E38" s="69">
        <f>E23/2</f>
        <v>16844.625</v>
      </c>
      <c r="F38" s="69">
        <f t="shared" ref="F38:Q38" si="35">F37/2</f>
        <v>17993.712500000001</v>
      </c>
      <c r="G38" s="69">
        <f t="shared" si="35"/>
        <v>19177.275000000001</v>
      </c>
      <c r="H38" s="69">
        <f t="shared" si="35"/>
        <v>20433.837500000001</v>
      </c>
      <c r="I38" s="69">
        <f t="shared" si="35"/>
        <v>21651.974999999999</v>
      </c>
      <c r="J38" s="69">
        <f t="shared" si="35"/>
        <v>22945.275000000001</v>
      </c>
      <c r="K38" s="69">
        <f t="shared" si="35"/>
        <v>23570.275000000001</v>
      </c>
      <c r="L38" s="69">
        <f t="shared" si="35"/>
        <v>24277.383249999999</v>
      </c>
      <c r="M38" s="69">
        <f t="shared" si="35"/>
        <v>25005.7047475</v>
      </c>
      <c r="N38" s="69">
        <f t="shared" si="35"/>
        <v>25755.875889925002</v>
      </c>
      <c r="O38" s="69">
        <f t="shared" si="35"/>
        <v>0</v>
      </c>
      <c r="P38" s="69">
        <f t="shared" si="35"/>
        <v>0</v>
      </c>
      <c r="Q38" s="69">
        <f t="shared" si="35"/>
        <v>0</v>
      </c>
      <c r="R38" s="75">
        <f>SUM(C38:Q38)</f>
        <v>233384.938887425</v>
      </c>
      <c r="S38" s="70"/>
    </row>
    <row r="39" spans="2:19" s="71" customFormat="1" x14ac:dyDescent="0.3">
      <c r="B39" s="68" t="s">
        <v>40</v>
      </c>
      <c r="C39" s="77">
        <f t="shared" ref="C39:R39" si="36">C23/2</f>
        <v>0</v>
      </c>
      <c r="D39" s="69">
        <f t="shared" si="36"/>
        <v>15729</v>
      </c>
      <c r="E39" s="69">
        <f t="shared" si="36"/>
        <v>16844.625</v>
      </c>
      <c r="F39" s="69">
        <f t="shared" si="36"/>
        <v>17993.712500000001</v>
      </c>
      <c r="G39" s="69">
        <f t="shared" si="36"/>
        <v>19177.275000000001</v>
      </c>
      <c r="H39" s="69">
        <f t="shared" si="36"/>
        <v>20433.837500000001</v>
      </c>
      <c r="I39" s="69">
        <f t="shared" si="36"/>
        <v>21651.974999999999</v>
      </c>
      <c r="J39" s="69">
        <f t="shared" si="36"/>
        <v>22945.275000000001</v>
      </c>
      <c r="K39" s="69">
        <f t="shared" si="36"/>
        <v>23570.275000000001</v>
      </c>
      <c r="L39" s="69">
        <f t="shared" si="36"/>
        <v>24277.383249999999</v>
      </c>
      <c r="M39" s="69">
        <f t="shared" si="36"/>
        <v>25005.7047475</v>
      </c>
      <c r="N39" s="69">
        <f t="shared" si="36"/>
        <v>25755.875889925002</v>
      </c>
      <c r="O39" s="69">
        <f t="shared" si="36"/>
        <v>0</v>
      </c>
      <c r="P39" s="69">
        <f t="shared" si="36"/>
        <v>0</v>
      </c>
      <c r="Q39" s="69">
        <f t="shared" si="36"/>
        <v>0</v>
      </c>
      <c r="R39" s="75">
        <f t="shared" si="36"/>
        <v>233384.938887425</v>
      </c>
      <c r="S39" s="70"/>
    </row>
    <row r="40" spans="2:19" x14ac:dyDescent="0.3">
      <c r="B40" s="92" t="s">
        <v>10</v>
      </c>
      <c r="C40" s="78">
        <f>C34-C35</f>
        <v>32199.331147147532</v>
      </c>
      <c r="D40" s="78">
        <f t="shared" ref="D40:N40" si="37">D34-D35-D36</f>
        <v>32199.331147147532</v>
      </c>
      <c r="E40" s="78">
        <f t="shared" si="37"/>
        <v>32199.331147147532</v>
      </c>
      <c r="F40" s="78">
        <f t="shared" si="37"/>
        <v>32199.331147147532</v>
      </c>
      <c r="G40" s="78">
        <f t="shared" si="37"/>
        <v>32199.331147147532</v>
      </c>
      <c r="H40" s="78">
        <f t="shared" si="37"/>
        <v>32199.331147147532</v>
      </c>
      <c r="I40" s="78">
        <f t="shared" si="37"/>
        <v>32199.331147147532</v>
      </c>
      <c r="J40" s="78">
        <f t="shared" si="37"/>
        <v>32199.331147147532</v>
      </c>
      <c r="K40" s="78">
        <f t="shared" si="37"/>
        <v>32199.331147147532</v>
      </c>
      <c r="L40" s="78">
        <f t="shared" si="37"/>
        <v>32199.331147147532</v>
      </c>
      <c r="M40" s="78">
        <f t="shared" si="37"/>
        <v>32199.331147147532</v>
      </c>
      <c r="N40" s="78">
        <f t="shared" si="37"/>
        <v>32199.331147147532</v>
      </c>
      <c r="O40" s="79">
        <v>0</v>
      </c>
      <c r="P40" s="79">
        <v>0</v>
      </c>
      <c r="Q40" s="79">
        <v>0</v>
      </c>
      <c r="R40" s="59">
        <f>SUM(C40:Q40)</f>
        <v>386391.97376577026</v>
      </c>
      <c r="S40" s="5"/>
    </row>
    <row r="41" spans="2:19" x14ac:dyDescent="0.3">
      <c r="B41" s="92" t="s">
        <v>38</v>
      </c>
      <c r="C41" s="78">
        <v>500</v>
      </c>
      <c r="D41" s="78">
        <v>500</v>
      </c>
      <c r="E41" s="78">
        <v>500</v>
      </c>
      <c r="F41" s="78">
        <v>500</v>
      </c>
      <c r="G41" s="78">
        <v>500</v>
      </c>
      <c r="H41" s="78">
        <v>500</v>
      </c>
      <c r="I41" s="78">
        <v>500</v>
      </c>
      <c r="J41" s="78">
        <v>500</v>
      </c>
      <c r="K41" s="78">
        <v>500</v>
      </c>
      <c r="L41" s="78">
        <v>500</v>
      </c>
      <c r="M41" s="79">
        <v>500</v>
      </c>
      <c r="N41" s="79">
        <v>500</v>
      </c>
      <c r="O41" s="79">
        <v>0</v>
      </c>
      <c r="P41" s="79">
        <v>0</v>
      </c>
      <c r="Q41" s="79">
        <v>0</v>
      </c>
      <c r="R41" s="59">
        <f>SUM(C41:Q41)</f>
        <v>6000</v>
      </c>
      <c r="S41" s="5"/>
    </row>
    <row r="42" spans="2:19" ht="15" thickBot="1" x14ac:dyDescent="0.35">
      <c r="B42" s="60" t="s">
        <v>13</v>
      </c>
      <c r="C42" s="39">
        <f>SUM(C33+C34+C37+C40+C41)</f>
        <v>174672.65804907947</v>
      </c>
      <c r="D42" s="39">
        <f>SUM(D33+D34+D37+D40+D41)</f>
        <v>206130.36857407948</v>
      </c>
      <c r="E42" s="39">
        <f t="shared" ref="E42:Q42" si="38">SUM(E33+E34+E37+E40+E41)</f>
        <v>208361.61857407948</v>
      </c>
      <c r="F42" s="39">
        <f t="shared" si="38"/>
        <v>210659.79357407946</v>
      </c>
      <c r="G42" s="39">
        <f t="shared" si="38"/>
        <v>213026.91857407946</v>
      </c>
      <c r="H42" s="39">
        <f t="shared" si="38"/>
        <v>215540.04357407946</v>
      </c>
      <c r="I42" s="39">
        <f t="shared" si="38"/>
        <v>217976.31857407949</v>
      </c>
      <c r="J42" s="39">
        <f t="shared" si="38"/>
        <v>220562.91857407946</v>
      </c>
      <c r="K42" s="39">
        <f t="shared" si="38"/>
        <v>221812.91857407946</v>
      </c>
      <c r="L42" s="39">
        <f t="shared" si="38"/>
        <v>223227.1350740795</v>
      </c>
      <c r="M42" s="39">
        <f t="shared" si="38"/>
        <v>224683.7780690795</v>
      </c>
      <c r="N42" s="39">
        <f t="shared" si="38"/>
        <v>226184.12035392947</v>
      </c>
      <c r="O42" s="39">
        <f t="shared" si="38"/>
        <v>0</v>
      </c>
      <c r="P42" s="39">
        <f t="shared" si="38"/>
        <v>0</v>
      </c>
      <c r="Q42" s="39">
        <f t="shared" si="38"/>
        <v>0</v>
      </c>
      <c r="R42" s="39">
        <f>R33+R34+R37+R40+R41</f>
        <v>2562838.5901388042</v>
      </c>
      <c r="S42" s="5"/>
    </row>
  </sheetData>
  <mergeCells count="8">
    <mergeCell ref="O14:P14"/>
    <mergeCell ref="F6:G6"/>
    <mergeCell ref="O8:P8"/>
    <mergeCell ref="O9:P9"/>
    <mergeCell ref="O13:P13"/>
    <mergeCell ref="L10:M10"/>
    <mergeCell ref="I9:J9"/>
    <mergeCell ref="O10:P10"/>
  </mergeCells>
  <phoneticPr fontId="5" type="noConversion"/>
  <pageMargins left="0.2" right="0.2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Gahanna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Hamons</dc:creator>
  <cp:lastModifiedBy>Jeremy VanMeter</cp:lastModifiedBy>
  <cp:lastPrinted>2025-05-28T19:18:56Z</cp:lastPrinted>
  <dcterms:created xsi:type="dcterms:W3CDTF">2024-02-19T18:54:26Z</dcterms:created>
  <dcterms:modified xsi:type="dcterms:W3CDTF">2025-06-06T21:19:16Z</dcterms:modified>
</cp:coreProperties>
</file>